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07F7DEEF-83F9-4211-AA0E-B07AB56EE3D4}" xr6:coauthVersionLast="31" xr6:coauthVersionMax="31" xr10:uidLastSave="{00000000-0000-0000-0000-000000000000}"/>
  <bookViews>
    <workbookView xWindow="0" yWindow="0" windowWidth="21720" windowHeight="76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C59" i="74" l="1"/>
  <c r="D59" i="74" s="1"/>
  <c r="E59" i="74" s="1"/>
  <c r="C29" i="74"/>
  <c r="D29" i="74" s="1"/>
  <c r="E29" i="74" s="1"/>
  <c r="F29" i="74" s="1"/>
  <c r="G29" i="74" s="1"/>
  <c r="H29" i="74" s="1"/>
  <c r="I29" i="74" s="1"/>
  <c r="J29" i="74" s="1"/>
  <c r="K29" i="74" s="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R1968" i="93"/>
  <c r="T1767"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F1015" i="93"/>
  <c r="E1015" i="93"/>
  <c r="D1015" i="93"/>
  <c r="C1015" i="93"/>
  <c r="B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G914" i="93"/>
  <c r="H910" i="93"/>
  <c r="I910" i="93"/>
  <c r="J910" i="93"/>
  <c r="K910" i="93"/>
  <c r="K912" i="93" s="1"/>
  <c r="H911" i="93"/>
  <c r="I911" i="93"/>
  <c r="J911" i="93"/>
  <c r="K911" i="93"/>
  <c r="G911" i="93"/>
  <c r="P906" i="93"/>
  <c r="O906" i="93"/>
  <c r="N906" i="93"/>
  <c r="M906" i="93"/>
  <c r="L906" i="93"/>
  <c r="K906" i="93"/>
  <c r="J906" i="93"/>
  <c r="I906" i="93"/>
  <c r="H906" i="93"/>
  <c r="G906" i="93"/>
  <c r="P905" i="93"/>
  <c r="P907" i="93" s="1"/>
  <c r="O905" i="93"/>
  <c r="O907" i="93" s="1"/>
  <c r="N905" i="93"/>
  <c r="M905" i="93"/>
  <c r="L905" i="93"/>
  <c r="K905" i="93"/>
  <c r="K907" i="93" s="1"/>
  <c r="J905" i="93"/>
  <c r="I905" i="93"/>
  <c r="H905" i="93"/>
  <c r="H907" i="93" s="1"/>
  <c r="G905" i="93"/>
  <c r="G907" i="93" s="1"/>
  <c r="P902" i="93"/>
  <c r="O902" i="93"/>
  <c r="N902" i="93"/>
  <c r="M902" i="93"/>
  <c r="L902" i="93"/>
  <c r="K902" i="93"/>
  <c r="J902" i="93"/>
  <c r="I902" i="93"/>
  <c r="H902" i="93"/>
  <c r="G902" i="93"/>
  <c r="P901" i="93"/>
  <c r="O901" i="93"/>
  <c r="O903" i="93" s="1"/>
  <c r="N901" i="93"/>
  <c r="M901" i="93"/>
  <c r="L901" i="93"/>
  <c r="L903" i="93" s="1"/>
  <c r="K901" i="93"/>
  <c r="K903" i="93" s="1"/>
  <c r="J901" i="93"/>
  <c r="I901" i="93"/>
  <c r="H901" i="93"/>
  <c r="G901" i="93"/>
  <c r="G903" i="93" s="1"/>
  <c r="P897" i="93"/>
  <c r="O897" i="93"/>
  <c r="N897" i="93"/>
  <c r="M897" i="93"/>
  <c r="M898" i="93" s="1"/>
  <c r="L897" i="93"/>
  <c r="K897" i="93"/>
  <c r="J897" i="93"/>
  <c r="I897" i="93"/>
  <c r="H897" i="93"/>
  <c r="G897" i="93"/>
  <c r="P896" i="93"/>
  <c r="O896" i="93"/>
  <c r="O898" i="93" s="1"/>
  <c r="N896" i="93"/>
  <c r="M896" i="93"/>
  <c r="L896" i="93"/>
  <c r="K896" i="93"/>
  <c r="K898" i="93" s="1"/>
  <c r="J896" i="93"/>
  <c r="I896" i="93"/>
  <c r="H896" i="93"/>
  <c r="G896" i="93"/>
  <c r="G898" i="93" s="1"/>
  <c r="P893" i="93"/>
  <c r="O893" i="93"/>
  <c r="N893" i="93"/>
  <c r="M893" i="93"/>
  <c r="L893" i="93"/>
  <c r="K893" i="93"/>
  <c r="J893" i="93"/>
  <c r="I893" i="93"/>
  <c r="I894" i="93" s="1"/>
  <c r="H893" i="93"/>
  <c r="G893" i="93"/>
  <c r="P892" i="93"/>
  <c r="O892" i="93"/>
  <c r="O894" i="93" s="1"/>
  <c r="N892" i="93"/>
  <c r="M892" i="93"/>
  <c r="L892" i="93"/>
  <c r="K892" i="93"/>
  <c r="K894" i="93" s="1"/>
  <c r="J892" i="93"/>
  <c r="I892" i="93"/>
  <c r="H892" i="93"/>
  <c r="G892" i="93"/>
  <c r="P888" i="93"/>
  <c r="O888" i="93"/>
  <c r="N888" i="93"/>
  <c r="M888" i="93"/>
  <c r="L888" i="93"/>
  <c r="K888" i="93"/>
  <c r="J888" i="93"/>
  <c r="I888" i="93"/>
  <c r="H888" i="93"/>
  <c r="G888" i="93"/>
  <c r="P887" i="93"/>
  <c r="O887" i="93"/>
  <c r="O889" i="93" s="1"/>
  <c r="N887" i="93"/>
  <c r="M887" i="93"/>
  <c r="L887" i="93"/>
  <c r="K887" i="93"/>
  <c r="K889" i="93" s="1"/>
  <c r="J887" i="93"/>
  <c r="I887" i="93"/>
  <c r="H887" i="93"/>
  <c r="G887" i="93"/>
  <c r="G889" i="93" s="1"/>
  <c r="H883" i="93"/>
  <c r="I883" i="93"/>
  <c r="J883" i="93"/>
  <c r="K883" i="93"/>
  <c r="K885" i="93" s="1"/>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IC792" i="93" s="1"/>
  <c r="P791" i="93"/>
  <c r="P790" i="93"/>
  <c r="P789" i="93"/>
  <c r="P788" i="93"/>
  <c r="P787" i="93"/>
  <c r="FR787" i="93" s="1"/>
  <c r="P786" i="93"/>
  <c r="P785" i="93"/>
  <c r="IB785" i="93" s="1"/>
  <c r="P784" i="93"/>
  <c r="IC784" i="93" s="1"/>
  <c r="P783" i="93"/>
  <c r="P782" i="93"/>
  <c r="P781" i="93"/>
  <c r="P780" i="93"/>
  <c r="P779" i="93"/>
  <c r="GR779" i="93" s="1"/>
  <c r="P778" i="93"/>
  <c r="P777" i="93"/>
  <c r="FX777" i="93" s="1"/>
  <c r="P776" i="93"/>
  <c r="P775" i="93"/>
  <c r="P774" i="93"/>
  <c r="P773" i="93"/>
  <c r="P772" i="93"/>
  <c r="P771" i="93"/>
  <c r="IC771" i="93" s="1"/>
  <c r="P770" i="93"/>
  <c r="P769" i="93"/>
  <c r="P768" i="93"/>
  <c r="GO768" i="93" s="1"/>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EH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DM771" i="93" s="1"/>
  <c r="M770" i="93"/>
  <c r="M769" i="93"/>
  <c r="M768" i="93"/>
  <c r="M767" i="93"/>
  <c r="J804" i="93"/>
  <c r="J803" i="93"/>
  <c r="CX803" i="93" s="1"/>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K777" i="93" s="1"/>
  <c r="J776" i="93"/>
  <c r="CV776" i="93" s="1"/>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JP787" i="93" s="1"/>
  <c r="E786" i="93"/>
  <c r="E785" i="93"/>
  <c r="JP785" i="93" s="1"/>
  <c r="E784" i="93"/>
  <c r="E783" i="93"/>
  <c r="E782" i="93"/>
  <c r="E781" i="93"/>
  <c r="E780" i="93"/>
  <c r="E779" i="93"/>
  <c r="JI779" i="93" s="1"/>
  <c r="E778" i="93"/>
  <c r="E777" i="93"/>
  <c r="JJ777" i="93" s="1"/>
  <c r="E776" i="93"/>
  <c r="E775" i="93"/>
  <c r="E774" i="93"/>
  <c r="E773" i="93"/>
  <c r="E772" i="93"/>
  <c r="E771" i="93"/>
  <c r="JI771" i="93" s="1"/>
  <c r="E770" i="93"/>
  <c r="E769" i="93"/>
  <c r="JQ769" i="93" s="1"/>
  <c r="E768" i="93"/>
  <c r="JP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GV804" i="93" s="1"/>
  <c r="C803" i="93"/>
  <c r="C802" i="93"/>
  <c r="C801" i="93"/>
  <c r="C800" i="93"/>
  <c r="C799" i="93"/>
  <c r="GX799" i="93" s="1"/>
  <c r="C798" i="93"/>
  <c r="C797" i="93"/>
  <c r="C796" i="93"/>
  <c r="C795" i="93"/>
  <c r="C794" i="93"/>
  <c r="EW794" i="93" s="1"/>
  <c r="C793" i="93"/>
  <c r="C792" i="93"/>
  <c r="C791" i="93"/>
  <c r="HL791" i="93" s="1"/>
  <c r="C790" i="93"/>
  <c r="C789" i="93"/>
  <c r="C788" i="93"/>
  <c r="FX788" i="93" s="1"/>
  <c r="C787" i="93"/>
  <c r="C786" i="93"/>
  <c r="C785" i="93"/>
  <c r="C784" i="93"/>
  <c r="C783" i="93"/>
  <c r="JG783" i="93" s="1"/>
  <c r="C782" i="93"/>
  <c r="C781" i="93"/>
  <c r="IB781" i="93" s="1"/>
  <c r="C780" i="93"/>
  <c r="C779" i="93"/>
  <c r="C778" i="93"/>
  <c r="C777" i="93"/>
  <c r="C776" i="93"/>
  <c r="C775" i="93"/>
  <c r="HC775" i="93" s="1"/>
  <c r="C774" i="93"/>
  <c r="EZ774" i="93" s="1"/>
  <c r="C773" i="93"/>
  <c r="C772" i="93"/>
  <c r="FU772" i="93" s="1"/>
  <c r="C771" i="93"/>
  <c r="C770" i="93"/>
  <c r="C769" i="93"/>
  <c r="C768" i="93"/>
  <c r="C767" i="93"/>
  <c r="IA767" i="93" s="1"/>
  <c r="B768" i="93"/>
  <c r="B769" i="93"/>
  <c r="II769" i="93" s="1"/>
  <c r="B770" i="93"/>
  <c r="ES770" i="93" s="1"/>
  <c r="B771" i="93"/>
  <c r="B772" i="93"/>
  <c r="B773" i="93"/>
  <c r="B774" i="93"/>
  <c r="B775" i="93"/>
  <c r="B776" i="93"/>
  <c r="IH776" i="93" s="1"/>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IE800" i="93" s="1"/>
  <c r="B801" i="93"/>
  <c r="AD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G894" i="93"/>
  <c r="S891" i="93"/>
  <c r="R886" i="93"/>
  <c r="R882" i="93"/>
  <c r="R881" i="93"/>
  <c r="R879" i="93"/>
  <c r="R869" i="93"/>
  <c r="R860" i="93"/>
  <c r="R842" i="93"/>
  <c r="R828" i="93"/>
  <c r="R824" i="93"/>
  <c r="R820" i="93"/>
  <c r="R810" i="93"/>
  <c r="JR805" i="93"/>
  <c r="GQ803" i="93"/>
  <c r="EY803" i="93"/>
  <c r="EW803" i="93"/>
  <c r="FA800" i="93"/>
  <c r="EY800" i="93"/>
  <c r="EX800" i="93"/>
  <c r="DA800" i="93"/>
  <c r="BX800" i="93"/>
  <c r="HE796" i="93"/>
  <c r="EZ795" i="93"/>
  <c r="EY795" i="93"/>
  <c r="EX795" i="93"/>
  <c r="CB795" i="93"/>
  <c r="EX793" i="93"/>
  <c r="EW793" i="93"/>
  <c r="CZ793" i="93"/>
  <c r="BX793" i="93"/>
  <c r="BU793" i="93"/>
  <c r="ID792" i="93"/>
  <c r="FA792" i="93"/>
  <c r="EZ792" i="93"/>
  <c r="EX792" i="93"/>
  <c r="EW792" i="93"/>
  <c r="CZ792" i="93"/>
  <c r="BU792" i="93"/>
  <c r="FH791" i="93"/>
  <c r="FE791" i="93"/>
  <c r="HT788" i="93"/>
  <c r="JJ787" i="93"/>
  <c r="GH787" i="93"/>
  <c r="FA787" i="93"/>
  <c r="EZ787" i="93"/>
  <c r="EX787" i="93"/>
  <c r="EW787" i="93"/>
  <c r="EK787" i="93"/>
  <c r="DA787" i="93"/>
  <c r="HY786" i="93"/>
  <c r="FK785" i="93"/>
  <c r="EZ785" i="93"/>
  <c r="CZ785" i="93"/>
  <c r="BY785" i="93"/>
  <c r="BX785" i="93"/>
  <c r="BR785" i="93"/>
  <c r="BD785" i="93"/>
  <c r="HD784" i="93"/>
  <c r="FO784" i="93"/>
  <c r="FA784" i="93"/>
  <c r="EZ784" i="93"/>
  <c r="EY784" i="93"/>
  <c r="EX784" i="93"/>
  <c r="EW784" i="93"/>
  <c r="DC784" i="93"/>
  <c r="CY784" i="93"/>
  <c r="BX784" i="93"/>
  <c r="HP783" i="93"/>
  <c r="GP783" i="93"/>
  <c r="GO783" i="93"/>
  <c r="EX783" i="93"/>
  <c r="CR783" i="93"/>
  <c r="BV783" i="93"/>
  <c r="GM781" i="93"/>
  <c r="FP781" i="93"/>
  <c r="CJ781" i="93"/>
  <c r="CH781" i="93"/>
  <c r="IC780" i="93"/>
  <c r="GY780" i="93"/>
  <c r="FZ780" i="93"/>
  <c r="CX780" i="93"/>
  <c r="HX779" i="93"/>
  <c r="HQ779" i="93"/>
  <c r="HI779" i="93"/>
  <c r="GP779" i="93"/>
  <c r="GC779" i="93"/>
  <c r="FZ779" i="93"/>
  <c r="FA779" i="93"/>
  <c r="EZ779" i="93"/>
  <c r="EX779" i="93"/>
  <c r="EW779" i="93"/>
  <c r="HH778" i="93"/>
  <c r="FT778" i="93"/>
  <c r="GS777" i="93"/>
  <c r="GN777" i="93"/>
  <c r="FA777" i="93"/>
  <c r="EW777" i="93"/>
  <c r="EV777" i="93"/>
  <c r="DB777" i="93"/>
  <c r="CZ777" i="93"/>
  <c r="CU777" i="93"/>
  <c r="CF777" i="93"/>
  <c r="BV777" i="93"/>
  <c r="AP777" i="93"/>
  <c r="AJ777" i="93"/>
  <c r="HU776" i="93"/>
  <c r="HC776" i="93"/>
  <c r="GM776" i="93"/>
  <c r="FW776" i="93"/>
  <c r="FG776" i="93"/>
  <c r="FA776" i="93"/>
  <c r="EZ776" i="93"/>
  <c r="EY776" i="93"/>
  <c r="EX776" i="93"/>
  <c r="EW776" i="93"/>
  <c r="DK776" i="93"/>
  <c r="CZ776" i="93"/>
  <c r="BY776" i="93"/>
  <c r="BU776" i="93"/>
  <c r="JO775" i="93"/>
  <c r="HU775" i="93"/>
  <c r="HT775" i="93"/>
  <c r="GU775" i="93"/>
  <c r="GF775" i="93"/>
  <c r="GE775" i="93"/>
  <c r="FA775" i="93"/>
  <c r="BX775" i="93"/>
  <c r="BU775" i="93"/>
  <c r="FP774" i="93"/>
  <c r="HC773" i="93"/>
  <c r="GP773" i="93"/>
  <c r="FJ773" i="93"/>
  <c r="FF773" i="93"/>
  <c r="FC772" i="93"/>
  <c r="IA771" i="93"/>
  <c r="HV771" i="93"/>
  <c r="HK771" i="93"/>
  <c r="HI771" i="93"/>
  <c r="HG771" i="93"/>
  <c r="GW771" i="93"/>
  <c r="GP771" i="93"/>
  <c r="GO771" i="93"/>
  <c r="GD771" i="93"/>
  <c r="GA771" i="93"/>
  <c r="FZ771" i="93"/>
  <c r="FO771" i="93"/>
  <c r="FI771" i="93"/>
  <c r="FG771" i="93"/>
  <c r="FA771" i="93"/>
  <c r="EX771" i="93"/>
  <c r="EW771" i="93"/>
  <c r="ES771" i="93"/>
  <c r="EK771" i="93"/>
  <c r="BZ771" i="93"/>
  <c r="BV771" i="93"/>
  <c r="JM769" i="93"/>
  <c r="IT769" i="93"/>
  <c r="HS769" i="93"/>
  <c r="HO769" i="93"/>
  <c r="GH769" i="93"/>
  <c r="GD769" i="93"/>
  <c r="FC769" i="93"/>
  <c r="FB769" i="93"/>
  <c r="EX769" i="93"/>
  <c r="EW769" i="93"/>
  <c r="EG769" i="93"/>
  <c r="DV769" i="93"/>
  <c r="DB769" i="93"/>
  <c r="DA769" i="93"/>
  <c r="CW769" i="93"/>
  <c r="BZ769" i="93"/>
  <c r="BV769" i="93"/>
  <c r="BU769" i="93"/>
  <c r="AY769" i="93"/>
  <c r="AU769" i="93"/>
  <c r="HM768" i="93"/>
  <c r="FA768" i="93"/>
  <c r="IB767" i="93"/>
  <c r="HS767" i="93"/>
  <c r="HL767" i="93"/>
  <c r="GE767" i="93"/>
  <c r="FP767" i="93"/>
  <c r="FO767" i="93"/>
  <c r="DC767" i="93"/>
  <c r="CV767" i="93"/>
  <c r="BU767" i="93"/>
  <c r="U760" i="93"/>
  <c r="A758" i="93"/>
  <c r="U758" i="93" s="1"/>
  <c r="JP780" i="93" l="1"/>
  <c r="IA780" i="93"/>
  <c r="HS780" i="93"/>
  <c r="HK780" i="93"/>
  <c r="HC780" i="93"/>
  <c r="GU780" i="93"/>
  <c r="GM780" i="93"/>
  <c r="GE780" i="93"/>
  <c r="FW780" i="93"/>
  <c r="FO780" i="93"/>
  <c r="FG780" i="93"/>
  <c r="EY780" i="93"/>
  <c r="JN780" i="93"/>
  <c r="HY780" i="93"/>
  <c r="HQ780" i="93"/>
  <c r="HI780" i="93"/>
  <c r="HA780" i="93"/>
  <c r="GS780" i="93"/>
  <c r="GK780" i="93"/>
  <c r="GC780" i="93"/>
  <c r="FU780" i="93"/>
  <c r="FM780" i="93"/>
  <c r="FE780" i="93"/>
  <c r="EW780" i="93"/>
  <c r="HZ780" i="93"/>
  <c r="HO780" i="93"/>
  <c r="HE780" i="93"/>
  <c r="GT780" i="93"/>
  <c r="GI780" i="93"/>
  <c r="FY780" i="93"/>
  <c r="FN780" i="93"/>
  <c r="FC780" i="93"/>
  <c r="BW780" i="93"/>
  <c r="JQ780" i="93"/>
  <c r="HX780" i="93"/>
  <c r="HN780" i="93"/>
  <c r="HD780" i="93"/>
  <c r="GR780" i="93"/>
  <c r="GH780" i="93"/>
  <c r="FX780" i="93"/>
  <c r="FL780" i="93"/>
  <c r="FB780" i="93"/>
  <c r="AM780" i="93"/>
  <c r="JO780" i="93"/>
  <c r="HW780" i="93"/>
  <c r="HM780" i="93"/>
  <c r="HB780" i="93"/>
  <c r="GQ780" i="93"/>
  <c r="GG780" i="93"/>
  <c r="FV780" i="93"/>
  <c r="FK780" i="93"/>
  <c r="FA780" i="93"/>
  <c r="JM780" i="93"/>
  <c r="HV780" i="93"/>
  <c r="HL780" i="93"/>
  <c r="GZ780" i="93"/>
  <c r="GP780" i="93"/>
  <c r="GF780" i="93"/>
  <c r="FT780" i="93"/>
  <c r="FJ780" i="93"/>
  <c r="EZ780" i="93"/>
  <c r="JE780" i="93"/>
  <c r="HT780" i="93"/>
  <c r="HH780" i="93"/>
  <c r="GX780" i="93"/>
  <c r="GN780" i="93"/>
  <c r="GB780" i="93"/>
  <c r="FR780" i="93"/>
  <c r="FH780" i="93"/>
  <c r="DB780" i="93"/>
  <c r="JP796" i="93"/>
  <c r="HY796" i="93"/>
  <c r="HN796" i="93"/>
  <c r="HD796" i="93"/>
  <c r="GS796" i="93"/>
  <c r="GH796" i="93"/>
  <c r="FX796" i="93"/>
  <c r="FM796" i="93"/>
  <c r="FB796" i="93"/>
  <c r="AV796" i="93"/>
  <c r="JM796" i="93"/>
  <c r="HV796" i="93"/>
  <c r="HL796" i="93"/>
  <c r="HA796" i="93"/>
  <c r="GP796" i="93"/>
  <c r="GF796" i="93"/>
  <c r="FU796" i="93"/>
  <c r="FJ796" i="93"/>
  <c r="EZ796" i="93"/>
  <c r="JL796" i="93"/>
  <c r="HU796" i="93"/>
  <c r="HJ796" i="93"/>
  <c r="GZ796" i="93"/>
  <c r="GO796" i="93"/>
  <c r="GD796" i="93"/>
  <c r="FT796" i="93"/>
  <c r="FI796" i="93"/>
  <c r="EX796" i="93"/>
  <c r="JQ796" i="93"/>
  <c r="HR796" i="93"/>
  <c r="HB796" i="93"/>
  <c r="GK796" i="93"/>
  <c r="FR796" i="93"/>
  <c r="FD796" i="93"/>
  <c r="JN796" i="93"/>
  <c r="HQ796" i="93"/>
  <c r="GX796" i="93"/>
  <c r="GJ796" i="93"/>
  <c r="FQ796" i="93"/>
  <c r="FA796" i="93"/>
  <c r="JF796" i="93"/>
  <c r="HP796" i="93"/>
  <c r="GW796" i="93"/>
  <c r="GG796" i="93"/>
  <c r="FP796" i="93"/>
  <c r="EW796" i="93"/>
  <c r="IC796" i="93"/>
  <c r="HM796" i="93"/>
  <c r="GV796" i="93"/>
  <c r="GC796" i="93"/>
  <c r="FN796" i="93"/>
  <c r="EU796" i="93"/>
  <c r="HI796" i="93"/>
  <c r="GB796" i="93"/>
  <c r="CY796" i="93"/>
  <c r="HH796" i="93"/>
  <c r="FZ796" i="93"/>
  <c r="BY796" i="93"/>
  <c r="HF796" i="93"/>
  <c r="FY796" i="93"/>
  <c r="GT796" i="93"/>
  <c r="FE796" i="93"/>
  <c r="GR796" i="93"/>
  <c r="GN796" i="93"/>
  <c r="IB796" i="93"/>
  <c r="GL796" i="93"/>
  <c r="HX796" i="93"/>
  <c r="FL796" i="93"/>
  <c r="JM776" i="93"/>
  <c r="JK776" i="93"/>
  <c r="JG776" i="93"/>
  <c r="JC776" i="93"/>
  <c r="JP776" i="93"/>
  <c r="JQ792" i="93"/>
  <c r="JN792" i="93"/>
  <c r="JM792" i="93"/>
  <c r="JP792" i="93"/>
  <c r="HY776" i="93"/>
  <c r="HQ776" i="93"/>
  <c r="HI776" i="93"/>
  <c r="HA776" i="93"/>
  <c r="GS776" i="93"/>
  <c r="GK776" i="93"/>
  <c r="GC776" i="93"/>
  <c r="FU776" i="93"/>
  <c r="FM776" i="93"/>
  <c r="FE776" i="93"/>
  <c r="HX776" i="93"/>
  <c r="HP776" i="93"/>
  <c r="HH776" i="93"/>
  <c r="GZ776" i="93"/>
  <c r="GR776" i="93"/>
  <c r="GJ776" i="93"/>
  <c r="GB776" i="93"/>
  <c r="FT776" i="93"/>
  <c r="FL776" i="93"/>
  <c r="FD776" i="93"/>
  <c r="HW776" i="93"/>
  <c r="HO776" i="93"/>
  <c r="HG776" i="93"/>
  <c r="GY776" i="93"/>
  <c r="GQ776" i="93"/>
  <c r="GI776" i="93"/>
  <c r="GA776" i="93"/>
  <c r="FS776" i="93"/>
  <c r="FK776" i="93"/>
  <c r="FC776" i="93"/>
  <c r="HV776" i="93"/>
  <c r="HN776" i="93"/>
  <c r="IB776" i="93"/>
  <c r="HT776" i="93"/>
  <c r="HL776" i="93"/>
  <c r="HD776" i="93"/>
  <c r="GV776" i="93"/>
  <c r="GN776" i="93"/>
  <c r="GF776" i="93"/>
  <c r="FX776" i="93"/>
  <c r="FP776" i="93"/>
  <c r="FH776" i="93"/>
  <c r="HO800" i="93"/>
  <c r="HA800" i="93"/>
  <c r="GL800" i="93"/>
  <c r="FY800" i="93"/>
  <c r="FJ800" i="93"/>
  <c r="HZ800" i="93"/>
  <c r="HK800" i="93"/>
  <c r="GW800" i="93"/>
  <c r="GI800" i="93"/>
  <c r="FU800" i="93"/>
  <c r="FF800" i="93"/>
  <c r="HW800" i="93"/>
  <c r="HJ800" i="93"/>
  <c r="GU800" i="93"/>
  <c r="GG800" i="93"/>
  <c r="FS800" i="93"/>
  <c r="FE800" i="93"/>
  <c r="HQ800" i="93"/>
  <c r="GQ800" i="93"/>
  <c r="FV800" i="93"/>
  <c r="HM800" i="93"/>
  <c r="GP800" i="93"/>
  <c r="FQ800" i="93"/>
  <c r="HG800" i="93"/>
  <c r="GO800" i="93"/>
  <c r="FO800" i="93"/>
  <c r="HF800" i="93"/>
  <c r="GK800" i="93"/>
  <c r="FN800" i="93"/>
  <c r="IA800" i="93"/>
  <c r="GE800" i="93"/>
  <c r="HV800" i="93"/>
  <c r="GD800" i="93"/>
  <c r="HU800" i="93"/>
  <c r="GA800" i="93"/>
  <c r="FZ800" i="93"/>
  <c r="FK800" i="93"/>
  <c r="FI800" i="93"/>
  <c r="HR800" i="93"/>
  <c r="FC800" i="93"/>
  <c r="HB800" i="93"/>
  <c r="FY776" i="93"/>
  <c r="HE776" i="93"/>
  <c r="EX780" i="93"/>
  <c r="GA780" i="93"/>
  <c r="HF780" i="93"/>
  <c r="JI780" i="93"/>
  <c r="IG793" i="93"/>
  <c r="CP793" i="93"/>
  <c r="CH793" i="93"/>
  <c r="CD793" i="93"/>
  <c r="AJ793" i="93"/>
  <c r="CO793" i="93"/>
  <c r="AD793" i="93"/>
  <c r="AL793" i="93"/>
  <c r="AA793" i="93"/>
  <c r="ID793" i="93"/>
  <c r="HZ773" i="93"/>
  <c r="HB773" i="93"/>
  <c r="GB773" i="93"/>
  <c r="FD773" i="93"/>
  <c r="BW773" i="93"/>
  <c r="HU773" i="93"/>
  <c r="GW773" i="93"/>
  <c r="FX773" i="93"/>
  <c r="EZ773" i="93"/>
  <c r="BQ773" i="93"/>
  <c r="HT773" i="93"/>
  <c r="GU773" i="93"/>
  <c r="FW773" i="93"/>
  <c r="EY773" i="93"/>
  <c r="AP773" i="93"/>
  <c r="HH773" i="93"/>
  <c r="GJ773" i="93"/>
  <c r="IL789" i="93"/>
  <c r="HJ789" i="93"/>
  <c r="GH789" i="93"/>
  <c r="FE789" i="93"/>
  <c r="DJ789" i="93"/>
  <c r="CD789" i="93"/>
  <c r="BA789" i="93"/>
  <c r="Y789" i="93"/>
  <c r="IF789" i="93"/>
  <c r="HD789" i="93"/>
  <c r="FZ789" i="93"/>
  <c r="EX789" i="93"/>
  <c r="CY789" i="93"/>
  <c r="BV789" i="93"/>
  <c r="AT789" i="93"/>
  <c r="HZ789" i="93"/>
  <c r="GX789" i="93"/>
  <c r="FU789" i="93"/>
  <c r="EP789" i="93"/>
  <c r="CT789" i="93"/>
  <c r="BQ789" i="93"/>
  <c r="AO789" i="93"/>
  <c r="HL789" i="93"/>
  <c r="FN789" i="93"/>
  <c r="DA789" i="93"/>
  <c r="BI789" i="93"/>
  <c r="JP789" i="93"/>
  <c r="HE789" i="93"/>
  <c r="FM789" i="93"/>
  <c r="CQ789" i="93"/>
  <c r="BC789" i="93"/>
  <c r="IQ789" i="93"/>
  <c r="GP789" i="93"/>
  <c r="EZ789" i="93"/>
  <c r="CK789" i="93"/>
  <c r="AM789" i="93"/>
  <c r="GO789" i="93"/>
  <c r="DK789" i="93"/>
  <c r="AE789" i="93"/>
  <c r="GJ789" i="93"/>
  <c r="CL789" i="93"/>
  <c r="Z789" i="93"/>
  <c r="JB789" i="93"/>
  <c r="GC789" i="93"/>
  <c r="CE789" i="93"/>
  <c r="FT789" i="93"/>
  <c r="AU789" i="93"/>
  <c r="FH789" i="93"/>
  <c r="AH789" i="93"/>
  <c r="EM789" i="93"/>
  <c r="IG789" i="93"/>
  <c r="EA789" i="93"/>
  <c r="HT789" i="93"/>
  <c r="BY789" i="93"/>
  <c r="BO769" i="93"/>
  <c r="AT769" i="93"/>
  <c r="BK769" i="93"/>
  <c r="BE793" i="93"/>
  <c r="AT793" i="93"/>
  <c r="AS793" i="93"/>
  <c r="CX793" i="93"/>
  <c r="BN793" i="93"/>
  <c r="BM793" i="93"/>
  <c r="BB793" i="93"/>
  <c r="IO779" i="93"/>
  <c r="DC779" i="93"/>
  <c r="ES779" i="93"/>
  <c r="AI779" i="93"/>
  <c r="IM779" i="93"/>
  <c r="CI779" i="93"/>
  <c r="EM779" i="93"/>
  <c r="CH779" i="93"/>
  <c r="EC779" i="93"/>
  <c r="BX779" i="93"/>
  <c r="DQ779" i="93"/>
  <c r="HJ769" i="93"/>
  <c r="GO769" i="93"/>
  <c r="FS769" i="93"/>
  <c r="HI769" i="93"/>
  <c r="GM769" i="93"/>
  <c r="FR769" i="93"/>
  <c r="HZ769" i="93"/>
  <c r="HE769" i="93"/>
  <c r="GI769" i="93"/>
  <c r="FN769" i="93"/>
  <c r="HD793" i="93"/>
  <c r="GB793" i="93"/>
  <c r="HY793" i="93"/>
  <c r="GW793" i="93"/>
  <c r="FT793" i="93"/>
  <c r="HX793" i="93"/>
  <c r="GT793" i="93"/>
  <c r="FR793" i="93"/>
  <c r="HI793" i="93"/>
  <c r="FL793" i="93"/>
  <c r="HB793" i="93"/>
  <c r="FF793" i="93"/>
  <c r="GN793" i="93"/>
  <c r="HR793" i="93"/>
  <c r="FD793" i="93"/>
  <c r="HP793" i="93"/>
  <c r="HJ793" i="93"/>
  <c r="GG793" i="93"/>
  <c r="FY793" i="93"/>
  <c r="FM793" i="93"/>
  <c r="O885" i="93"/>
  <c r="DA767" i="93"/>
  <c r="FW767" i="93"/>
  <c r="Z769" i="93"/>
  <c r="BA769" i="93"/>
  <c r="CA769" i="93"/>
  <c r="FG769" i="93"/>
  <c r="GS769" i="93"/>
  <c r="HU769" i="93"/>
  <c r="CC771" i="93"/>
  <c r="FJ771" i="93"/>
  <c r="GC771" i="93"/>
  <c r="GU771" i="93"/>
  <c r="HJ771" i="93"/>
  <c r="AI773" i="93"/>
  <c r="FL773" i="93"/>
  <c r="HG773" i="93"/>
  <c r="EZ775" i="93"/>
  <c r="GO775" i="93"/>
  <c r="JH775" i="93"/>
  <c r="FJ776" i="93"/>
  <c r="FZ776" i="93"/>
  <c r="GP776" i="93"/>
  <c r="HF776" i="93"/>
  <c r="IA776" i="93"/>
  <c r="BD777" i="93"/>
  <c r="CV777" i="93"/>
  <c r="HH777" i="93"/>
  <c r="W779" i="93"/>
  <c r="GG779" i="93"/>
  <c r="HT779" i="93"/>
  <c r="FD780" i="93"/>
  <c r="GD780" i="93"/>
  <c r="HG780" i="93"/>
  <c r="AB781" i="93"/>
  <c r="CO781" i="93"/>
  <c r="GV781" i="93"/>
  <c r="EW783" i="93"/>
  <c r="GZ783" i="93"/>
  <c r="FW784" i="93"/>
  <c r="HO784" i="93"/>
  <c r="GB785" i="93"/>
  <c r="BJ789" i="93"/>
  <c r="GD792" i="93"/>
  <c r="HZ796" i="93"/>
  <c r="HV788" i="93"/>
  <c r="IE777" i="93"/>
  <c r="ID777" i="93"/>
  <c r="CQ777" i="93"/>
  <c r="AE777" i="93"/>
  <c r="CP777" i="93"/>
  <c r="AD777" i="93"/>
  <c r="CL777" i="93"/>
  <c r="Z777" i="93"/>
  <c r="CJ777" i="93"/>
  <c r="X777" i="93"/>
  <c r="CE777" i="93"/>
  <c r="AN777" i="93"/>
  <c r="HW797" i="93"/>
  <c r="FZ797" i="93"/>
  <c r="CH797" i="93"/>
  <c r="HK797" i="93"/>
  <c r="FL797" i="93"/>
  <c r="BG797" i="93"/>
  <c r="HB797" i="93"/>
  <c r="FD797" i="93"/>
  <c r="AR797" i="93"/>
  <c r="JH797" i="93"/>
  <c r="EY797" i="93"/>
  <c r="IB797" i="93"/>
  <c r="DT797" i="93"/>
  <c r="HN797" i="93"/>
  <c r="DN797" i="93"/>
  <c r="GZ797" i="93"/>
  <c r="CM797" i="93"/>
  <c r="BR797" i="93"/>
  <c r="AN797" i="93"/>
  <c r="AC797" i="93"/>
  <c r="GA797" i="93"/>
  <c r="FP797" i="93"/>
  <c r="AB797" i="93"/>
  <c r="JN797" i="93"/>
  <c r="BB785" i="93"/>
  <c r="BT785" i="93"/>
  <c r="AX785" i="93"/>
  <c r="BN785" i="93"/>
  <c r="BM785" i="93"/>
  <c r="BI785" i="93"/>
  <c r="AS785" i="93"/>
  <c r="AR785" i="93"/>
  <c r="BH785" i="93"/>
  <c r="GU801" i="93"/>
  <c r="FY801" i="93"/>
  <c r="AD769" i="93"/>
  <c r="EL769" i="93"/>
  <c r="HY769" i="93"/>
  <c r="ID771" i="93"/>
  <c r="GD776" i="93"/>
  <c r="FB777" i="93"/>
  <c r="FF780" i="93"/>
  <c r="AC781" i="93"/>
  <c r="DK781" i="93"/>
  <c r="GG784" i="93"/>
  <c r="BO789" i="93"/>
  <c r="JQ767" i="93"/>
  <c r="JP767" i="93"/>
  <c r="GV767" i="93"/>
  <c r="FG767" i="93"/>
  <c r="BY767" i="93"/>
  <c r="JH767" i="93"/>
  <c r="GU767" i="93"/>
  <c r="GW791" i="93"/>
  <c r="FX791" i="93"/>
  <c r="EW791" i="93"/>
  <c r="BX791" i="93"/>
  <c r="JB791" i="93"/>
  <c r="GS791" i="93"/>
  <c r="FP791" i="93"/>
  <c r="EF791" i="93"/>
  <c r="AP791" i="93"/>
  <c r="IV791" i="93"/>
  <c r="GN791" i="93"/>
  <c r="FM791" i="93"/>
  <c r="DS791" i="93"/>
  <c r="AN791" i="93"/>
  <c r="GV791" i="93"/>
  <c r="FA791" i="93"/>
  <c r="GK791" i="93"/>
  <c r="EY791" i="93"/>
  <c r="JK791" i="93"/>
  <c r="GC791" i="93"/>
  <c r="DC791" i="93"/>
  <c r="GG791" i="93"/>
  <c r="CN791" i="93"/>
  <c r="FY791" i="93"/>
  <c r="BV791" i="93"/>
  <c r="FQ791" i="93"/>
  <c r="EV791" i="93"/>
  <c r="DA791" i="93"/>
  <c r="IB791" i="93"/>
  <c r="CP791" i="93"/>
  <c r="HT791" i="93"/>
  <c r="HI791" i="93"/>
  <c r="JK787" i="93"/>
  <c r="JD787" i="93"/>
  <c r="A787" i="93"/>
  <c r="JQ787" i="93"/>
  <c r="CT787" i="93"/>
  <c r="BF787" i="93"/>
  <c r="AU787" i="93"/>
  <c r="JA769" i="93"/>
  <c r="EC769" i="93"/>
  <c r="IY769" i="93"/>
  <c r="EA769" i="93"/>
  <c r="DF769" i="93"/>
  <c r="IU769" i="93"/>
  <c r="ES769" i="93"/>
  <c r="DW769" i="93"/>
  <c r="HZ771" i="93"/>
  <c r="HO771" i="93"/>
  <c r="HE771" i="93"/>
  <c r="GT771" i="93"/>
  <c r="GI771" i="93"/>
  <c r="FY771" i="93"/>
  <c r="FN771" i="93"/>
  <c r="FC771" i="93"/>
  <c r="HY771" i="93"/>
  <c r="HN771" i="93"/>
  <c r="HC771" i="93"/>
  <c r="GS771" i="93"/>
  <c r="GH771" i="93"/>
  <c r="FW771" i="93"/>
  <c r="FM771" i="93"/>
  <c r="FB771" i="93"/>
  <c r="HW771" i="93"/>
  <c r="HM771" i="93"/>
  <c r="HB771" i="93"/>
  <c r="GQ771" i="93"/>
  <c r="GG771" i="93"/>
  <c r="FV771" i="93"/>
  <c r="FK771" i="93"/>
  <c r="HB795" i="93"/>
  <c r="GL795" i="93"/>
  <c r="GK795" i="93"/>
  <c r="HY795" i="93"/>
  <c r="HR795" i="93"/>
  <c r="HI795" i="93"/>
  <c r="HA795" i="93"/>
  <c r="GC795" i="93"/>
  <c r="FU795" i="93"/>
  <c r="FF795" i="93"/>
  <c r="EW767" i="93"/>
  <c r="GF767" i="93"/>
  <c r="CL769" i="93"/>
  <c r="GX771" i="93"/>
  <c r="HO773" i="93"/>
  <c r="GE776" i="93"/>
  <c r="FQ777" i="93"/>
  <c r="HN777" i="93"/>
  <c r="BV779" i="93"/>
  <c r="FD779" i="93"/>
  <c r="IY779" i="93"/>
  <c r="FI780" i="93"/>
  <c r="GL780" i="93"/>
  <c r="HP780" i="93"/>
  <c r="AL781" i="93"/>
  <c r="DL781" i="93"/>
  <c r="HX781" i="93"/>
  <c r="FH783" i="93"/>
  <c r="HQ783" i="93"/>
  <c r="GH784" i="93"/>
  <c r="CT785" i="93"/>
  <c r="HW785" i="93"/>
  <c r="DW789" i="93"/>
  <c r="HN792" i="93"/>
  <c r="FM795" i="93"/>
  <c r="GP797" i="93"/>
  <c r="GY800" i="93"/>
  <c r="IB788" i="93"/>
  <c r="HQ788" i="93"/>
  <c r="HF788" i="93"/>
  <c r="GV788" i="93"/>
  <c r="GK788" i="93"/>
  <c r="GC788" i="93"/>
  <c r="FU788" i="93"/>
  <c r="FM788" i="93"/>
  <c r="FE788" i="93"/>
  <c r="EW788" i="93"/>
  <c r="JP788" i="93"/>
  <c r="HY788" i="93"/>
  <c r="HN788" i="93"/>
  <c r="HD788" i="93"/>
  <c r="GS788" i="93"/>
  <c r="GI788" i="93"/>
  <c r="GA788" i="93"/>
  <c r="FS788" i="93"/>
  <c r="FK788" i="93"/>
  <c r="FC788" i="93"/>
  <c r="CZ788" i="93"/>
  <c r="JN788" i="93"/>
  <c r="HX788" i="93"/>
  <c r="HM788" i="93"/>
  <c r="HB788" i="93"/>
  <c r="GR788" i="93"/>
  <c r="GH788" i="93"/>
  <c r="FZ788" i="93"/>
  <c r="FR788" i="93"/>
  <c r="FJ788" i="93"/>
  <c r="FB788" i="93"/>
  <c r="CU788" i="93"/>
  <c r="JM788" i="93"/>
  <c r="HR788" i="93"/>
  <c r="GZ788" i="93"/>
  <c r="GJ788" i="93"/>
  <c r="FW788" i="93"/>
  <c r="FI788" i="93"/>
  <c r="EX788" i="93"/>
  <c r="JH788" i="93"/>
  <c r="HP788" i="93"/>
  <c r="GX788" i="93"/>
  <c r="GG788" i="93"/>
  <c r="FV788" i="93"/>
  <c r="FH788" i="93"/>
  <c r="DL788" i="93"/>
  <c r="IC788" i="93"/>
  <c r="HJ788" i="93"/>
  <c r="GT788" i="93"/>
  <c r="GE788" i="93"/>
  <c r="FQ788" i="93"/>
  <c r="FF788" i="93"/>
  <c r="BP788" i="93"/>
  <c r="HL788" i="93"/>
  <c r="GN788" i="93"/>
  <c r="FP788" i="93"/>
  <c r="EY788" i="93"/>
  <c r="HI788" i="93"/>
  <c r="GL788" i="93"/>
  <c r="FO788" i="93"/>
  <c r="BX788" i="93"/>
  <c r="JQ788" i="93"/>
  <c r="HH788" i="93"/>
  <c r="GF788" i="93"/>
  <c r="FN788" i="93"/>
  <c r="HA788" i="93"/>
  <c r="FT788" i="93"/>
  <c r="GW788" i="93"/>
  <c r="FL788" i="93"/>
  <c r="IH788" i="93"/>
  <c r="GP788" i="93"/>
  <c r="FG788" i="93"/>
  <c r="HZ788" i="93"/>
  <c r="GO788" i="93"/>
  <c r="FD788" i="93"/>
  <c r="HU788" i="93"/>
  <c r="GB788" i="93"/>
  <c r="EZ788" i="93"/>
  <c r="JQ804" i="93"/>
  <c r="HI804" i="93"/>
  <c r="GF804" i="93"/>
  <c r="FE804" i="93"/>
  <c r="IC804" i="93"/>
  <c r="HA804" i="93"/>
  <c r="FY804" i="93"/>
  <c r="EW804" i="93"/>
  <c r="IB804" i="93"/>
  <c r="GW804" i="93"/>
  <c r="FU804" i="93"/>
  <c r="DC804" i="93"/>
  <c r="HU804" i="93"/>
  <c r="GK804" i="93"/>
  <c r="BT804" i="93"/>
  <c r="HT804" i="93"/>
  <c r="GC804" i="93"/>
  <c r="HQ804" i="93"/>
  <c r="FQ804" i="93"/>
  <c r="HL804" i="93"/>
  <c r="FP804" i="93"/>
  <c r="GO804" i="93"/>
  <c r="GN804" i="93"/>
  <c r="FI804" i="93"/>
  <c r="FH804" i="93"/>
  <c r="EZ804" i="93"/>
  <c r="CT804" i="93"/>
  <c r="JN804" i="93"/>
  <c r="JM784" i="93"/>
  <c r="JI784" i="93"/>
  <c r="JN784" i="93"/>
  <c r="JE784" i="93"/>
  <c r="JP784" i="93"/>
  <c r="JG800" i="93"/>
  <c r="JO800" i="93"/>
  <c r="JN800" i="93"/>
  <c r="JM800" i="93"/>
  <c r="HY784" i="93"/>
  <c r="HQ784" i="93"/>
  <c r="HI784" i="93"/>
  <c r="HA784" i="93"/>
  <c r="GS784" i="93"/>
  <c r="GK784" i="93"/>
  <c r="GC784" i="93"/>
  <c r="FU784" i="93"/>
  <c r="FM784" i="93"/>
  <c r="FE784" i="93"/>
  <c r="HX784" i="93"/>
  <c r="HP784" i="93"/>
  <c r="HH784" i="93"/>
  <c r="GZ784" i="93"/>
  <c r="GR784" i="93"/>
  <c r="GJ784" i="93"/>
  <c r="GB784" i="93"/>
  <c r="FT784" i="93"/>
  <c r="FL784" i="93"/>
  <c r="FD784" i="93"/>
  <c r="HV784" i="93"/>
  <c r="HL784" i="93"/>
  <c r="HB784" i="93"/>
  <c r="GP784" i="93"/>
  <c r="GF784" i="93"/>
  <c r="FV784" i="93"/>
  <c r="FJ784" i="93"/>
  <c r="HU784" i="93"/>
  <c r="HK784" i="93"/>
  <c r="GY784" i="93"/>
  <c r="GO784" i="93"/>
  <c r="GE784" i="93"/>
  <c r="FS784" i="93"/>
  <c r="FI784" i="93"/>
  <c r="HT784" i="93"/>
  <c r="HJ784" i="93"/>
  <c r="GX784" i="93"/>
  <c r="GN784" i="93"/>
  <c r="GD784" i="93"/>
  <c r="FR784" i="93"/>
  <c r="FH784" i="93"/>
  <c r="IB784" i="93"/>
  <c r="HM784" i="93"/>
  <c r="GU784" i="93"/>
  <c r="GA784" i="93"/>
  <c r="FN784" i="93"/>
  <c r="IA784" i="93"/>
  <c r="HG784" i="93"/>
  <c r="GT784" i="93"/>
  <c r="FZ784" i="93"/>
  <c r="FK784" i="93"/>
  <c r="HZ784" i="93"/>
  <c r="HF784" i="93"/>
  <c r="GQ784" i="93"/>
  <c r="FY784" i="93"/>
  <c r="FG784" i="93"/>
  <c r="HW784" i="93"/>
  <c r="HE784" i="93"/>
  <c r="GM784" i="93"/>
  <c r="FX784" i="93"/>
  <c r="FF784" i="93"/>
  <c r="HR784" i="93"/>
  <c r="HC784" i="93"/>
  <c r="GI784" i="93"/>
  <c r="FQ784" i="93"/>
  <c r="FB784" i="93"/>
  <c r="FI776" i="93"/>
  <c r="FP784" i="93"/>
  <c r="HN784" i="93"/>
  <c r="GC792" i="93"/>
  <c r="HT796" i="93"/>
  <c r="IF769" i="93"/>
  <c r="IE769" i="93"/>
  <c r="ID769" i="93"/>
  <c r="CK769" i="93"/>
  <c r="Y769" i="93"/>
  <c r="CG769" i="93"/>
  <c r="AP769" i="93"/>
  <c r="CX801" i="93"/>
  <c r="BS801" i="93"/>
  <c r="CR795" i="93"/>
  <c r="BW795" i="93"/>
  <c r="IU795" i="93"/>
  <c r="EF795" i="93"/>
  <c r="W795" i="93"/>
  <c r="DY795" i="93"/>
  <c r="IR795" i="93"/>
  <c r="DD795" i="93"/>
  <c r="DC795" i="93"/>
  <c r="BE769" i="93"/>
  <c r="FI769" i="93"/>
  <c r="FN776" i="93"/>
  <c r="HJ776" i="93"/>
  <c r="GJ780" i="93"/>
  <c r="HS784" i="93"/>
  <c r="GT800" i="93"/>
  <c r="JP803" i="93"/>
  <c r="JK803" i="93"/>
  <c r="BI779" i="93"/>
  <c r="CW779" i="93"/>
  <c r="CT779" i="93"/>
  <c r="AY779" i="93"/>
  <c r="BD795" i="93"/>
  <c r="AY795" i="93"/>
  <c r="CW795" i="93"/>
  <c r="JA777" i="93"/>
  <c r="IU777" i="93"/>
  <c r="EQ777" i="93"/>
  <c r="DM777" i="93"/>
  <c r="EN777" i="93"/>
  <c r="DL777" i="93"/>
  <c r="EI777" i="93"/>
  <c r="DG777" i="93"/>
  <c r="IV777" i="93"/>
  <c r="EG777" i="93"/>
  <c r="DF777" i="93"/>
  <c r="IN777" i="93"/>
  <c r="EA777" i="93"/>
  <c r="EK793" i="93"/>
  <c r="EF793" i="93"/>
  <c r="IW793" i="93"/>
  <c r="IN793" i="93"/>
  <c r="DQ793" i="93"/>
  <c r="HU779" i="93"/>
  <c r="HJ779" i="93"/>
  <c r="GZ779" i="93"/>
  <c r="GO779" i="93"/>
  <c r="GD779" i="93"/>
  <c r="FT779" i="93"/>
  <c r="FI779" i="93"/>
  <c r="IC779" i="93"/>
  <c r="HR779" i="93"/>
  <c r="HH779" i="93"/>
  <c r="GW779" i="93"/>
  <c r="GL779" i="93"/>
  <c r="GB779" i="93"/>
  <c r="FQ779" i="93"/>
  <c r="FF779" i="93"/>
  <c r="HP779" i="93"/>
  <c r="HB779" i="93"/>
  <c r="GN779" i="93"/>
  <c r="FY779" i="93"/>
  <c r="FL779" i="93"/>
  <c r="IB779" i="93"/>
  <c r="HN779" i="93"/>
  <c r="HA779" i="93"/>
  <c r="GK779" i="93"/>
  <c r="FX779" i="93"/>
  <c r="FJ779" i="93"/>
  <c r="HZ779" i="93"/>
  <c r="HM779" i="93"/>
  <c r="GX779" i="93"/>
  <c r="GJ779" i="93"/>
  <c r="FV779" i="93"/>
  <c r="FH779" i="93"/>
  <c r="HY779" i="93"/>
  <c r="HL779" i="93"/>
  <c r="GV779" i="93"/>
  <c r="GH779" i="93"/>
  <c r="FU779" i="93"/>
  <c r="FE779" i="93"/>
  <c r="HV779" i="93"/>
  <c r="HF779" i="93"/>
  <c r="GS779" i="93"/>
  <c r="GF779" i="93"/>
  <c r="FP779" i="93"/>
  <c r="FB779" i="93"/>
  <c r="FK803" i="93"/>
  <c r="HP803" i="93"/>
  <c r="HH803" i="93"/>
  <c r="FD803" i="93"/>
  <c r="HW803" i="93"/>
  <c r="GB803" i="93"/>
  <c r="FT803" i="93"/>
  <c r="GR803" i="93"/>
  <c r="AE769" i="93"/>
  <c r="BF769" i="93"/>
  <c r="DK769" i="93"/>
  <c r="EM769" i="93"/>
  <c r="FM769" i="93"/>
  <c r="GX769" i="93"/>
  <c r="Z771" i="93"/>
  <c r="DC771" i="93"/>
  <c r="FQ771" i="93"/>
  <c r="GE771" i="93"/>
  <c r="HQ771" i="93"/>
  <c r="IL771" i="93"/>
  <c r="CX773" i="93"/>
  <c r="FR773" i="93"/>
  <c r="FH775" i="93"/>
  <c r="GW775" i="93"/>
  <c r="FO776" i="93"/>
  <c r="GU776" i="93"/>
  <c r="HK776" i="93"/>
  <c r="JN776" i="93"/>
  <c r="EX767" i="93"/>
  <c r="GM767" i="93"/>
  <c r="FI768" i="93"/>
  <c r="AI769" i="93"/>
  <c r="BJ769" i="93"/>
  <c r="CP769" i="93"/>
  <c r="DM769" i="93"/>
  <c r="EQ769" i="93"/>
  <c r="FW769" i="93"/>
  <c r="GY769" i="93"/>
  <c r="IK769" i="93"/>
  <c r="AC771" i="93"/>
  <c r="DE771" i="93"/>
  <c r="FR771" i="93"/>
  <c r="GK771" i="93"/>
  <c r="GY771" i="93"/>
  <c r="HR771" i="93"/>
  <c r="IO771" i="93"/>
  <c r="CY773" i="93"/>
  <c r="GE773" i="93"/>
  <c r="IA773" i="93"/>
  <c r="FI775" i="93"/>
  <c r="FQ776" i="93"/>
  <c r="GG776" i="93"/>
  <c r="GW776" i="93"/>
  <c r="HM776" i="93"/>
  <c r="JO776" i="93"/>
  <c r="DS777" i="93"/>
  <c r="FR777" i="93"/>
  <c r="IH777" i="93"/>
  <c r="DA779" i="93"/>
  <c r="FM779" i="93"/>
  <c r="GT779" i="93"/>
  <c r="JD779" i="93"/>
  <c r="FP780" i="93"/>
  <c r="GO780" i="93"/>
  <c r="HR780" i="93"/>
  <c r="BB781" i="93"/>
  <c r="DZ781" i="93"/>
  <c r="FU783" i="93"/>
  <c r="HU783" i="93"/>
  <c r="GL784" i="93"/>
  <c r="JO784" i="93"/>
  <c r="CX785" i="93"/>
  <c r="FY788" i="93"/>
  <c r="GV789" i="93"/>
  <c r="FF796" i="93"/>
  <c r="HE800" i="93"/>
  <c r="HU768" i="93"/>
  <c r="IG785" i="93"/>
  <c r="IM785" i="93"/>
  <c r="IH785" i="93"/>
  <c r="CS785" i="93"/>
  <c r="AG785" i="93"/>
  <c r="II785" i="93"/>
  <c r="CO785" i="93"/>
  <c r="AC785" i="93"/>
  <c r="CN785" i="93"/>
  <c r="AN785" i="93"/>
  <c r="CJ785" i="93"/>
  <c r="AL785" i="93"/>
  <c r="ID785" i="93"/>
  <c r="CH785" i="93"/>
  <c r="AH785" i="93"/>
  <c r="CD785" i="93"/>
  <c r="CC785" i="93"/>
  <c r="AB785" i="93"/>
  <c r="X785" i="93"/>
  <c r="II781" i="93"/>
  <c r="HM781" i="93"/>
  <c r="GR781" i="93"/>
  <c r="FW781" i="93"/>
  <c r="FA781" i="93"/>
  <c r="EA781" i="93"/>
  <c r="IG781" i="93"/>
  <c r="HL781" i="93"/>
  <c r="GQ781" i="93"/>
  <c r="FU781" i="93"/>
  <c r="EZ781" i="93"/>
  <c r="IT781" i="93"/>
  <c r="HQ781" i="93"/>
  <c r="GK781" i="93"/>
  <c r="FK781" i="93"/>
  <c r="EF781" i="93"/>
  <c r="CZ781" i="93"/>
  <c r="CD781" i="93"/>
  <c r="BI781" i="93"/>
  <c r="AN781" i="93"/>
  <c r="IM781" i="93"/>
  <c r="HG781" i="93"/>
  <c r="GF781" i="93"/>
  <c r="FE781" i="93"/>
  <c r="DT781" i="93"/>
  <c r="CT781" i="93"/>
  <c r="BY781" i="93"/>
  <c r="BD781" i="93"/>
  <c r="AH781" i="93"/>
  <c r="HW781" i="93"/>
  <c r="GG781" i="93"/>
  <c r="EU781" i="93"/>
  <c r="DF781" i="93"/>
  <c r="CC781" i="93"/>
  <c r="AX781" i="93"/>
  <c r="X781" i="93"/>
  <c r="JC781" i="93"/>
  <c r="HS781" i="93"/>
  <c r="GB781" i="93"/>
  <c r="EP781" i="93"/>
  <c r="DD781" i="93"/>
  <c r="BX781" i="93"/>
  <c r="AW781" i="93"/>
  <c r="IZ781" i="93"/>
  <c r="HH781" i="93"/>
  <c r="GA781" i="93"/>
  <c r="EM781" i="93"/>
  <c r="CX781" i="93"/>
  <c r="BT781" i="93"/>
  <c r="AS781" i="93"/>
  <c r="IU781" i="93"/>
  <c r="HC781" i="93"/>
  <c r="FQ781" i="93"/>
  <c r="EH781" i="93"/>
  <c r="CS781" i="93"/>
  <c r="BR781" i="93"/>
  <c r="AR781" i="93"/>
  <c r="IC781" i="93"/>
  <c r="GW781" i="93"/>
  <c r="FL781" i="93"/>
  <c r="DR781" i="93"/>
  <c r="CN781" i="93"/>
  <c r="BM781" i="93"/>
  <c r="AG781" i="93"/>
  <c r="AZ777" i="93"/>
  <c r="BT777" i="93"/>
  <c r="AY777" i="93"/>
  <c r="BP777" i="93"/>
  <c r="AU777" i="93"/>
  <c r="BO777" i="93"/>
  <c r="AT777" i="93"/>
  <c r="BJ777" i="93"/>
  <c r="EO787" i="93"/>
  <c r="AK787" i="93"/>
  <c r="DZ787" i="93"/>
  <c r="CE787" i="93"/>
  <c r="JA787" i="93"/>
  <c r="IL787" i="93"/>
  <c r="DU787" i="93"/>
  <c r="BV787" i="93"/>
  <c r="DJ787" i="93"/>
  <c r="CZ787" i="93"/>
  <c r="CP787" i="93"/>
  <c r="CA787" i="93"/>
  <c r="IP787" i="93"/>
  <c r="AG787" i="93"/>
  <c r="DI787" i="93"/>
  <c r="HR785" i="93"/>
  <c r="GV785" i="93"/>
  <c r="GA785" i="93"/>
  <c r="FF785" i="93"/>
  <c r="HL785" i="93"/>
  <c r="GQ785" i="93"/>
  <c r="FV785" i="93"/>
  <c r="HH785" i="93"/>
  <c r="GH785" i="93"/>
  <c r="FG785" i="93"/>
  <c r="HG785" i="93"/>
  <c r="GF785" i="93"/>
  <c r="FB785" i="93"/>
  <c r="HC785" i="93"/>
  <c r="FR785" i="93"/>
  <c r="HB785" i="93"/>
  <c r="FP785" i="93"/>
  <c r="GX785" i="93"/>
  <c r="FL785" i="93"/>
  <c r="HN785" i="93"/>
  <c r="GR785" i="93"/>
  <c r="GM785" i="93"/>
  <c r="GL785" i="93"/>
  <c r="HX785" i="93"/>
  <c r="FW785" i="93"/>
  <c r="CE769" i="93"/>
  <c r="GT769" i="93"/>
  <c r="CY771" i="93"/>
  <c r="IC776" i="93"/>
  <c r="HJ780" i="93"/>
  <c r="HA781" i="93"/>
  <c r="HS785" i="93"/>
  <c r="DJ793" i="93"/>
  <c r="HE804" i="93"/>
  <c r="JN775" i="93"/>
  <c r="IC775" i="93"/>
  <c r="HK775" i="93"/>
  <c r="GN775" i="93"/>
  <c r="FQ775" i="93"/>
  <c r="EY775" i="93"/>
  <c r="IB775" i="93"/>
  <c r="HE775" i="93"/>
  <c r="GM775" i="93"/>
  <c r="FP775" i="93"/>
  <c r="EH775" i="93"/>
  <c r="IA775" i="93"/>
  <c r="HD775" i="93"/>
  <c r="GG775" i="93"/>
  <c r="FO775" i="93"/>
  <c r="DC775" i="93"/>
  <c r="HS775" i="93"/>
  <c r="GV775" i="93"/>
  <c r="FY775" i="93"/>
  <c r="FG775" i="93"/>
  <c r="GK799" i="93"/>
  <c r="DP799" i="93"/>
  <c r="JL799" i="93"/>
  <c r="FR799" i="93"/>
  <c r="CR799" i="93"/>
  <c r="IY799" i="93"/>
  <c r="FJ799" i="93"/>
  <c r="BV799" i="93"/>
  <c r="FZ799" i="93"/>
  <c r="EZ799" i="93"/>
  <c r="EY799" i="93"/>
  <c r="EX799" i="93"/>
  <c r="EA799" i="93"/>
  <c r="CZ799" i="93"/>
  <c r="BU799" i="93"/>
  <c r="HV799" i="93"/>
  <c r="HQ799" i="93"/>
  <c r="HA799" i="93"/>
  <c r="JH795" i="93"/>
  <c r="JK795" i="93"/>
  <c r="CW771" i="93"/>
  <c r="AX771" i="93"/>
  <c r="EY771" i="93"/>
  <c r="HC767" i="93"/>
  <c r="BQ769" i="93"/>
  <c r="DQ769" i="93"/>
  <c r="FY769" i="93"/>
  <c r="HC769" i="93"/>
  <c r="IO769" i="93"/>
  <c r="FE771" i="93"/>
  <c r="FS771" i="93"/>
  <c r="GL771" i="93"/>
  <c r="HA771" i="93"/>
  <c r="HS771" i="93"/>
  <c r="JJ771" i="93"/>
  <c r="DD773" i="93"/>
  <c r="GI773" i="93"/>
  <c r="JF773" i="93"/>
  <c r="FW775" i="93"/>
  <c r="HL775" i="93"/>
  <c r="FB776" i="93"/>
  <c r="FR776" i="93"/>
  <c r="GH776" i="93"/>
  <c r="GX776" i="93"/>
  <c r="HR776" i="93"/>
  <c r="JQ776" i="93"/>
  <c r="BZ777" i="93"/>
  <c r="DU777" i="93"/>
  <c r="IJ777" i="93"/>
  <c r="DM779" i="93"/>
  <c r="FN779" i="93"/>
  <c r="HD779" i="93"/>
  <c r="FQ780" i="93"/>
  <c r="GV780" i="93"/>
  <c r="HU780" i="93"/>
  <c r="BH781" i="93"/>
  <c r="EV781" i="93"/>
  <c r="IN781" i="93"/>
  <c r="FY783" i="93"/>
  <c r="GV784" i="93"/>
  <c r="JQ784" i="93"/>
  <c r="GD788" i="93"/>
  <c r="HQ789" i="93"/>
  <c r="GH793" i="93"/>
  <c r="FH796" i="93"/>
  <c r="BA784" i="93"/>
  <c r="CU784" i="93"/>
  <c r="HZ792" i="93"/>
  <c r="HP792" i="93"/>
  <c r="HE792" i="93"/>
  <c r="GT792" i="93"/>
  <c r="GJ792" i="93"/>
  <c r="FY792" i="93"/>
  <c r="FN792" i="93"/>
  <c r="FD792" i="93"/>
  <c r="HX792" i="93"/>
  <c r="HM792" i="93"/>
  <c r="HB792" i="93"/>
  <c r="GR792" i="93"/>
  <c r="GG792" i="93"/>
  <c r="FV792" i="93"/>
  <c r="FL792" i="93"/>
  <c r="HV792" i="93"/>
  <c r="HL792" i="93"/>
  <c r="HA792" i="93"/>
  <c r="GP792" i="93"/>
  <c r="GF792" i="93"/>
  <c r="FU792" i="93"/>
  <c r="FJ792" i="93"/>
  <c r="HY792" i="93"/>
  <c r="HH792" i="93"/>
  <c r="GO792" i="93"/>
  <c r="FZ792" i="93"/>
  <c r="FH792" i="93"/>
  <c r="HU792" i="93"/>
  <c r="HF792" i="93"/>
  <c r="GN792" i="93"/>
  <c r="FX792" i="93"/>
  <c r="FF792" i="93"/>
  <c r="HR792" i="93"/>
  <c r="GZ792" i="93"/>
  <c r="GK792" i="93"/>
  <c r="FR792" i="93"/>
  <c r="FB792" i="93"/>
  <c r="IB792" i="93"/>
  <c r="GW792" i="93"/>
  <c r="FT792" i="93"/>
  <c r="HT792" i="93"/>
  <c r="GV792" i="93"/>
  <c r="FQ792" i="93"/>
  <c r="HQ792" i="93"/>
  <c r="GS792" i="93"/>
  <c r="FP792" i="93"/>
  <c r="HJ792" i="93"/>
  <c r="GB792" i="93"/>
  <c r="HI792" i="93"/>
  <c r="FM792" i="93"/>
  <c r="HD792" i="93"/>
  <c r="FI792" i="93"/>
  <c r="GX792" i="93"/>
  <c r="FE792" i="93"/>
  <c r="GH792" i="93"/>
  <c r="GO776" i="93"/>
  <c r="HZ776" i="93"/>
  <c r="EH771" i="93"/>
  <c r="JA771" i="93"/>
  <c r="DZ771" i="93"/>
  <c r="CO771" i="93"/>
  <c r="AL771" i="93"/>
  <c r="IW771" i="93"/>
  <c r="DY771" i="93"/>
  <c r="CK771" i="93"/>
  <c r="AK771" i="93"/>
  <c r="IV803" i="93"/>
  <c r="DC803" i="93"/>
  <c r="BX803" i="93"/>
  <c r="AH803" i="93"/>
  <c r="IC777" i="93"/>
  <c r="HX777" i="93"/>
  <c r="HD777" i="93"/>
  <c r="GH777" i="93"/>
  <c r="FM777" i="93"/>
  <c r="HY777" i="93"/>
  <c r="HB777" i="93"/>
  <c r="GG777" i="93"/>
  <c r="FL777" i="93"/>
  <c r="HT777" i="93"/>
  <c r="GX777" i="93"/>
  <c r="GC777" i="93"/>
  <c r="FH777" i="93"/>
  <c r="HR777" i="93"/>
  <c r="GW777" i="93"/>
  <c r="GB777" i="93"/>
  <c r="FF777" i="93"/>
  <c r="HM777" i="93"/>
  <c r="GR777" i="93"/>
  <c r="FV777" i="93"/>
  <c r="DG769" i="93"/>
  <c r="CT773" i="93"/>
  <c r="FQ773" i="93"/>
  <c r="HM773" i="93"/>
  <c r="GT776" i="93"/>
  <c r="BF777" i="93"/>
  <c r="HI777" i="93"/>
  <c r="AH779" i="93"/>
  <c r="FA788" i="93"/>
  <c r="GL792" i="93"/>
  <c r="GL797" i="93"/>
  <c r="JO783" i="93"/>
  <c r="JL783" i="93"/>
  <c r="IB783" i="93"/>
  <c r="HN783" i="93"/>
  <c r="HD783" i="93"/>
  <c r="GS783" i="93"/>
  <c r="GH783" i="93"/>
  <c r="FX783" i="93"/>
  <c r="FM783" i="93"/>
  <c r="FB783" i="93"/>
  <c r="DU783" i="93"/>
  <c r="CC783" i="93"/>
  <c r="JH783" i="93"/>
  <c r="IA783" i="93"/>
  <c r="HM783" i="93"/>
  <c r="HB783" i="93"/>
  <c r="GR783" i="93"/>
  <c r="GG783" i="93"/>
  <c r="FV783" i="93"/>
  <c r="FL783" i="93"/>
  <c r="FA783" i="93"/>
  <c r="DT783" i="93"/>
  <c r="CB783" i="93"/>
  <c r="IC783" i="93"/>
  <c r="HJ783" i="93"/>
  <c r="GW783" i="93"/>
  <c r="GJ783" i="93"/>
  <c r="FT783" i="93"/>
  <c r="FF783" i="93"/>
  <c r="EF783" i="93"/>
  <c r="BT783" i="93"/>
  <c r="JP783" i="93"/>
  <c r="HX783" i="93"/>
  <c r="HI783" i="93"/>
  <c r="GV783" i="93"/>
  <c r="GF783" i="93"/>
  <c r="FR783" i="93"/>
  <c r="FE783" i="93"/>
  <c r="DI783" i="93"/>
  <c r="AX783" i="93"/>
  <c r="JN783" i="93"/>
  <c r="HW783" i="93"/>
  <c r="HH783" i="93"/>
  <c r="GT783" i="93"/>
  <c r="GD783" i="93"/>
  <c r="FQ783" i="93"/>
  <c r="FD783" i="93"/>
  <c r="DE783" i="93"/>
  <c r="AW783" i="93"/>
  <c r="JB783" i="93"/>
  <c r="HL783" i="93"/>
  <c r="GN783" i="93"/>
  <c r="FP783" i="93"/>
  <c r="EV783" i="93"/>
  <c r="AC783" i="93"/>
  <c r="IW783" i="93"/>
  <c r="HF783" i="93"/>
  <c r="GL783" i="93"/>
  <c r="FN783" i="93"/>
  <c r="EK783" i="93"/>
  <c r="IL783" i="93"/>
  <c r="HE783" i="93"/>
  <c r="GK783" i="93"/>
  <c r="FJ783" i="93"/>
  <c r="DA783" i="93"/>
  <c r="IK783" i="93"/>
  <c r="HA783" i="93"/>
  <c r="GC783" i="93"/>
  <c r="FI783" i="93"/>
  <c r="CY783" i="93"/>
  <c r="HS783" i="93"/>
  <c r="GX783" i="93"/>
  <c r="FZ783" i="93"/>
  <c r="EZ783" i="93"/>
  <c r="CN783" i="93"/>
  <c r="JQ779" i="93"/>
  <c r="JN779" i="93"/>
  <c r="JP779" i="93"/>
  <c r="JM779" i="93"/>
  <c r="JH779" i="93"/>
  <c r="IN785" i="93"/>
  <c r="DX785" i="93"/>
  <c r="DP785" i="93"/>
  <c r="IZ785" i="93"/>
  <c r="EJ785" i="93"/>
  <c r="IV785" i="93"/>
  <c r="EB785" i="93"/>
  <c r="DM785" i="93"/>
  <c r="EV785" i="93"/>
  <c r="ES785" i="93"/>
  <c r="EK785" i="93"/>
  <c r="DE785" i="93"/>
  <c r="HV787" i="93"/>
  <c r="HB787" i="93"/>
  <c r="GG787" i="93"/>
  <c r="FJ787" i="93"/>
  <c r="HR787" i="93"/>
  <c r="GW787" i="93"/>
  <c r="FZ787" i="93"/>
  <c r="FF787" i="93"/>
  <c r="HN787" i="93"/>
  <c r="GT787" i="93"/>
  <c r="FY787" i="93"/>
  <c r="FB787" i="93"/>
  <c r="GX787" i="93"/>
  <c r="FQ787" i="93"/>
  <c r="IC787" i="93"/>
  <c r="GP787" i="93"/>
  <c r="FN787" i="93"/>
  <c r="HU787" i="93"/>
  <c r="GL787" i="93"/>
  <c r="HJ787" i="93"/>
  <c r="FI787" i="93"/>
  <c r="HF787" i="93"/>
  <c r="HE787" i="93"/>
  <c r="HZ787" i="93"/>
  <c r="HM787" i="93"/>
  <c r="GO787" i="93"/>
  <c r="GD787" i="93"/>
  <c r="EZ767" i="93"/>
  <c r="GG768" i="93"/>
  <c r="AK769" i="93"/>
  <c r="CQ769" i="93"/>
  <c r="BF771" i="93"/>
  <c r="FA767" i="93"/>
  <c r="HK767" i="93"/>
  <c r="AO769" i="93"/>
  <c r="CU769" i="93"/>
  <c r="DR769" i="93"/>
  <c r="GC769" i="93"/>
  <c r="HN769" i="93"/>
  <c r="IP769" i="93"/>
  <c r="BU771" i="93"/>
  <c r="DQ771" i="93"/>
  <c r="FF771" i="93"/>
  <c r="FU771" i="93"/>
  <c r="GM771" i="93"/>
  <c r="HF771" i="93"/>
  <c r="HU771" i="93"/>
  <c r="JQ771" i="93"/>
  <c r="EC773" i="93"/>
  <c r="GO773" i="93"/>
  <c r="FX775" i="93"/>
  <c r="HM775" i="93"/>
  <c r="FF776" i="93"/>
  <c r="FV776" i="93"/>
  <c r="GL776" i="93"/>
  <c r="HB776" i="93"/>
  <c r="HS776" i="93"/>
  <c r="AI777" i="93"/>
  <c r="CA777" i="93"/>
  <c r="EB777" i="93"/>
  <c r="GL777" i="93"/>
  <c r="IO777" i="93"/>
  <c r="EA779" i="93"/>
  <c r="FR779" i="93"/>
  <c r="HE779" i="93"/>
  <c r="CT780" i="93"/>
  <c r="FS780" i="93"/>
  <c r="GW780" i="93"/>
  <c r="IB780" i="93"/>
  <c r="BN781" i="93"/>
  <c r="FG781" i="93"/>
  <c r="AG783" i="93"/>
  <c r="GB783" i="93"/>
  <c r="FC784" i="93"/>
  <c r="GW784" i="93"/>
  <c r="AW785" i="93"/>
  <c r="DD785" i="93"/>
  <c r="BW787" i="93"/>
  <c r="FV787" i="93"/>
  <c r="HE788" i="93"/>
  <c r="HY789" i="93"/>
  <c r="JH792" i="93"/>
  <c r="GO793" i="93"/>
  <c r="FV796" i="93"/>
  <c r="AB792" i="93"/>
  <c r="CA792" i="93"/>
  <c r="AF784" i="93"/>
  <c r="ID784" i="93"/>
  <c r="BG768" i="93"/>
  <c r="HP782" i="93"/>
  <c r="IA782" i="93"/>
  <c r="FZ782" i="93"/>
  <c r="HS790" i="93"/>
  <c r="BX790" i="93"/>
  <c r="BW772" i="93"/>
  <c r="DA780" i="93"/>
  <c r="DC788" i="93"/>
  <c r="DC796" i="93"/>
  <c r="DA804" i="93"/>
  <c r="JI768" i="93"/>
  <c r="JJ776" i="93"/>
  <c r="JL784" i="93"/>
  <c r="JL792" i="93"/>
  <c r="JE800" i="93"/>
  <c r="M885" i="93"/>
  <c r="J903" i="93"/>
  <c r="N907" i="93"/>
  <c r="IH797" i="93"/>
  <c r="IZ773" i="93"/>
  <c r="M894" i="93"/>
  <c r="I898" i="93"/>
  <c r="M903" i="93"/>
  <c r="I916" i="93"/>
  <c r="AT788" i="93"/>
  <c r="CC780" i="93"/>
  <c r="FU770" i="93"/>
  <c r="GZ778" i="93"/>
  <c r="GS786" i="93"/>
  <c r="DC776" i="93"/>
  <c r="DB784" i="93"/>
  <c r="CX792" i="93"/>
  <c r="CX800" i="93"/>
  <c r="JL780" i="93"/>
  <c r="JL788" i="93"/>
  <c r="JJ796" i="93"/>
  <c r="JJ804" i="93"/>
  <c r="H903" i="93"/>
  <c r="P903" i="93"/>
  <c r="N903" i="93"/>
  <c r="L907" i="93"/>
  <c r="J907" i="93"/>
  <c r="JP771" i="93"/>
  <c r="JO779" i="93"/>
  <c r="JM787" i="93"/>
  <c r="H916" i="93"/>
  <c r="O1477" i="93"/>
  <c r="JH768" i="93"/>
  <c r="BV772" i="93"/>
  <c r="HG774" i="93"/>
  <c r="BV776" i="93"/>
  <c r="CS776" i="93"/>
  <c r="CW776" i="93"/>
  <c r="DA776" i="93"/>
  <c r="EG776" i="93"/>
  <c r="JD776" i="93"/>
  <c r="JH776" i="93"/>
  <c r="JL776" i="93"/>
  <c r="BV778" i="93"/>
  <c r="GB778" i="93"/>
  <c r="HX778" i="93"/>
  <c r="BI780" i="93"/>
  <c r="BX780" i="93"/>
  <c r="CU780" i="93"/>
  <c r="CY780" i="93"/>
  <c r="DC780" i="93"/>
  <c r="IM780" i="93"/>
  <c r="JF780" i="93"/>
  <c r="JJ780" i="93"/>
  <c r="GJ782" i="93"/>
  <c r="BU784" i="93"/>
  <c r="BY784" i="93"/>
  <c r="CV784" i="93"/>
  <c r="CZ784" i="93"/>
  <c r="DM784" i="93"/>
  <c r="IZ784" i="93"/>
  <c r="JF784" i="93"/>
  <c r="JJ784" i="93"/>
  <c r="AP786" i="93"/>
  <c r="BU788" i="93"/>
  <c r="BY788" i="93"/>
  <c r="CW788" i="93"/>
  <c r="DA788" i="93"/>
  <c r="EG788" i="93"/>
  <c r="JD788" i="93"/>
  <c r="JI788" i="93"/>
  <c r="FG790" i="93"/>
  <c r="BV792" i="93"/>
  <c r="CV792" i="93"/>
  <c r="DA792" i="93"/>
  <c r="JD792" i="93"/>
  <c r="JI792" i="93"/>
  <c r="BU796" i="93"/>
  <c r="CT796" i="93"/>
  <c r="DA796" i="93"/>
  <c r="IU796" i="93"/>
  <c r="JH796" i="93"/>
  <c r="CT800" i="93"/>
  <c r="DB800" i="93"/>
  <c r="JI800" i="93"/>
  <c r="BU804" i="93"/>
  <c r="CX804" i="93"/>
  <c r="H885" i="93"/>
  <c r="I885" i="93"/>
  <c r="HR774" i="93"/>
  <c r="AH776" i="93"/>
  <c r="BW776" i="93"/>
  <c r="CT776" i="93"/>
  <c r="CX776" i="93"/>
  <c r="DB776" i="93"/>
  <c r="JE776" i="93"/>
  <c r="JI776" i="93"/>
  <c r="CZ778" i="93"/>
  <c r="GR778" i="93"/>
  <c r="IH778" i="93"/>
  <c r="BU780" i="93"/>
  <c r="BY780" i="93"/>
  <c r="CV780" i="93"/>
  <c r="CZ780" i="93"/>
  <c r="DQ780" i="93"/>
  <c r="JC780" i="93"/>
  <c r="JG780" i="93"/>
  <c r="JK780" i="93"/>
  <c r="AO782" i="93"/>
  <c r="HF782" i="93"/>
  <c r="BV784" i="93"/>
  <c r="CP784" i="93"/>
  <c r="CW784" i="93"/>
  <c r="DA784" i="93"/>
  <c r="EH784" i="93"/>
  <c r="JC784" i="93"/>
  <c r="JG784" i="93"/>
  <c r="JK784" i="93"/>
  <c r="FB786" i="93"/>
  <c r="Y788" i="93"/>
  <c r="BV788" i="93"/>
  <c r="CO788" i="93"/>
  <c r="CX788" i="93"/>
  <c r="DB788" i="93"/>
  <c r="JE788" i="93"/>
  <c r="JJ788" i="93"/>
  <c r="FW790" i="93"/>
  <c r="BX792" i="93"/>
  <c r="CW792" i="93"/>
  <c r="DB792" i="93"/>
  <c r="JE792" i="93"/>
  <c r="JJ792" i="93"/>
  <c r="BV796" i="93"/>
  <c r="CW796" i="93"/>
  <c r="DB796" i="93"/>
  <c r="JD796" i="93"/>
  <c r="JI796" i="93"/>
  <c r="BU800" i="93"/>
  <c r="CV800" i="93"/>
  <c r="DC800" i="93"/>
  <c r="BX804" i="93"/>
  <c r="CY804" i="93"/>
  <c r="JF804" i="93"/>
  <c r="CM774" i="93"/>
  <c r="DB770" i="93"/>
  <c r="J889" i="93"/>
  <c r="N889" i="93"/>
  <c r="J894" i="93"/>
  <c r="N894" i="93"/>
  <c r="H894" i="93"/>
  <c r="L894" i="93"/>
  <c r="P894" i="93"/>
  <c r="J898" i="93"/>
  <c r="BC776" i="93"/>
  <c r="BX776" i="93"/>
  <c r="CU776" i="93"/>
  <c r="CY776" i="93"/>
  <c r="JF776" i="93"/>
  <c r="FL778" i="93"/>
  <c r="BV780" i="93"/>
  <c r="CW780" i="93"/>
  <c r="EL780" i="93"/>
  <c r="JD780" i="93"/>
  <c r="JH780" i="93"/>
  <c r="FO782" i="93"/>
  <c r="BW784" i="93"/>
  <c r="CT784" i="93"/>
  <c r="CX784" i="93"/>
  <c r="JD784" i="93"/>
  <c r="JH784" i="93"/>
  <c r="BW788" i="93"/>
  <c r="CT788" i="93"/>
  <c r="CY788" i="93"/>
  <c r="JF788" i="93"/>
  <c r="BY792" i="93"/>
  <c r="EE792" i="93"/>
  <c r="JF792" i="93"/>
  <c r="BX796" i="93"/>
  <c r="CX796" i="93"/>
  <c r="JE796" i="93"/>
  <c r="BV800" i="93"/>
  <c r="BY804" i="93"/>
  <c r="CZ767" i="93"/>
  <c r="IK771" i="93"/>
  <c r="CZ775" i="93"/>
  <c r="II779" i="93"/>
  <c r="IG783" i="93"/>
  <c r="IK787" i="93"/>
  <c r="IM791" i="93"/>
  <c r="IK795" i="93"/>
  <c r="CP799" i="93"/>
  <c r="JG767" i="93"/>
  <c r="JC771" i="93"/>
  <c r="JG775" i="93"/>
  <c r="JL779" i="93"/>
  <c r="JK783" i="93"/>
  <c r="JH787" i="93"/>
  <c r="JJ791" i="93"/>
  <c r="JG795" i="93"/>
  <c r="JJ799" i="93"/>
  <c r="N885" i="93"/>
  <c r="J885" i="93"/>
  <c r="H912" i="93"/>
  <c r="J916" i="93"/>
  <c r="C971" i="93"/>
  <c r="A1097" i="93"/>
  <c r="H1097" i="93" s="1"/>
  <c r="CA773" i="93"/>
  <c r="JA773" i="93"/>
  <c r="P924" i="93"/>
  <c r="IF793" i="93"/>
  <c r="IH793" i="93"/>
  <c r="IE789" i="93"/>
  <c r="IH789" i="93"/>
  <c r="IH781" i="93"/>
  <c r="ID781" i="93"/>
  <c r="JI769" i="93"/>
  <c r="IZ769" i="93"/>
  <c r="IV769" i="93"/>
  <c r="IR769" i="93"/>
  <c r="IN769" i="93"/>
  <c r="IJ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ER769" i="93"/>
  <c r="EN769" i="93"/>
  <c r="EJ769" i="93"/>
  <c r="EF769" i="93"/>
  <c r="EB769" i="93"/>
  <c r="DX769" i="93"/>
  <c r="DT769" i="93"/>
  <c r="DP769" i="93"/>
  <c r="DL769" i="93"/>
  <c r="DH769" i="93"/>
  <c r="DD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Y789" i="93"/>
  <c r="IP789" i="93"/>
  <c r="IC789" i="93"/>
  <c r="HX789" i="93"/>
  <c r="HR789" i="93"/>
  <c r="HM789" i="93"/>
  <c r="HH789" i="93"/>
  <c r="HB789" i="93"/>
  <c r="GW789" i="93"/>
  <c r="GR789" i="93"/>
  <c r="GL789" i="93"/>
  <c r="GG789" i="93"/>
  <c r="GB789" i="93"/>
  <c r="FV789" i="93"/>
  <c r="FQ789" i="93"/>
  <c r="FL789" i="93"/>
  <c r="FF789" i="93"/>
  <c r="FA789" i="93"/>
  <c r="EU789" i="93"/>
  <c r="EI789" i="93"/>
  <c r="DZ789" i="93"/>
  <c r="DO789" i="93"/>
  <c r="DC789" i="93"/>
  <c r="CX789" i="93"/>
  <c r="CS789" i="93"/>
  <c r="CM789" i="93"/>
  <c r="CH789" i="93"/>
  <c r="CC789" i="93"/>
  <c r="BW789" i="93"/>
  <c r="BR789" i="93"/>
  <c r="BM789" i="93"/>
  <c r="BG789" i="93"/>
  <c r="BB789" i="93"/>
  <c r="AW789" i="93"/>
  <c r="AQ789" i="93"/>
  <c r="AL789" i="93"/>
  <c r="AG789" i="93"/>
  <c r="AA789"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IM797" i="93"/>
  <c r="IA797" i="93"/>
  <c r="HS797" i="93"/>
  <c r="HL797" i="93"/>
  <c r="HF797" i="93"/>
  <c r="GX797" i="93"/>
  <c r="GQ797" i="93"/>
  <c r="GJ797" i="93"/>
  <c r="GB797" i="93"/>
  <c r="FV797" i="93"/>
  <c r="FO797" i="93"/>
  <c r="FG797" i="93"/>
  <c r="EZ797" i="93"/>
  <c r="EI797" i="93"/>
  <c r="DC797" i="93"/>
  <c r="CN797" i="93"/>
  <c r="CB797" i="93"/>
  <c r="BL797" i="93"/>
  <c r="AX797" i="93"/>
  <c r="AO797" i="93"/>
  <c r="AG797" i="93"/>
  <c r="Y797" i="93"/>
  <c r="IV797" i="93"/>
  <c r="HX797" i="93"/>
  <c r="HP797" i="93"/>
  <c r="HG797" i="93"/>
  <c r="GV797" i="93"/>
  <c r="GM797" i="93"/>
  <c r="GE797" i="93"/>
  <c r="FT797" i="93"/>
  <c r="FK797" i="93"/>
  <c r="FB797" i="93"/>
  <c r="DX797" i="93"/>
  <c r="CX797" i="93"/>
  <c r="CD797" i="93"/>
  <c r="BH797" i="93"/>
  <c r="AS797" i="93"/>
  <c r="AJ797" i="93"/>
  <c r="X797" i="93"/>
  <c r="CZ803" i="93"/>
  <c r="CD803" i="93"/>
  <c r="BE803" i="93"/>
  <c r="HL801" i="93"/>
  <c r="JN773" i="93"/>
  <c r="JB773" i="93"/>
  <c r="IB773" i="93"/>
  <c r="HW773" i="93"/>
  <c r="HS773" i="93"/>
  <c r="HN773" i="93"/>
  <c r="HJ773" i="93"/>
  <c r="HE773" i="93"/>
  <c r="GZ773" i="93"/>
  <c r="GV773" i="93"/>
  <c r="GQ773" i="93"/>
  <c r="GM773" i="93"/>
  <c r="GH773" i="93"/>
  <c r="GD773" i="93"/>
  <c r="FY773" i="93"/>
  <c r="FT773" i="93"/>
  <c r="FP773" i="93"/>
  <c r="FK773" i="93"/>
  <c r="FG773" i="93"/>
  <c r="FB773" i="93"/>
  <c r="EX773" i="93"/>
  <c r="DK773" i="93"/>
  <c r="CZ773" i="93"/>
  <c r="CV773" i="93"/>
  <c r="BZ773" i="93"/>
  <c r="BV773" i="93"/>
  <c r="AQ773" i="93"/>
  <c r="JF777" i="93"/>
  <c r="IW777" i="93"/>
  <c r="IR777" i="93"/>
  <c r="IM777" i="93"/>
  <c r="II777" i="93"/>
  <c r="IA777" i="93"/>
  <c r="HW777" i="93"/>
  <c r="HS777" i="93"/>
  <c r="HO777" i="93"/>
  <c r="HK777" i="93"/>
  <c r="HG777" i="93"/>
  <c r="HC777" i="93"/>
  <c r="GY777" i="93"/>
  <c r="GU777" i="93"/>
  <c r="GQ777" i="93"/>
  <c r="GM777" i="93"/>
  <c r="GI777" i="93"/>
  <c r="GE777" i="93"/>
  <c r="GA777" i="93"/>
  <c r="FW777" i="93"/>
  <c r="FS777" i="93"/>
  <c r="FO777" i="93"/>
  <c r="FK777" i="93"/>
  <c r="FG777" i="93"/>
  <c r="FC777" i="93"/>
  <c r="EY777" i="93"/>
  <c r="EU777" i="93"/>
  <c r="EO777" i="93"/>
  <c r="EJ777" i="93"/>
  <c r="EE777" i="93"/>
  <c r="DY777" i="93"/>
  <c r="DT777" i="93"/>
  <c r="DO777" i="93"/>
  <c r="DI777" i="93"/>
  <c r="DE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JL785" i="93"/>
  <c r="IW785" i="93"/>
  <c r="IO785" i="93"/>
  <c r="IK785" i="93"/>
  <c r="IC785" i="93"/>
  <c r="HY785" i="93"/>
  <c r="HU785" i="93"/>
  <c r="HQ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JO793" i="93"/>
  <c r="IR793" i="93"/>
  <c r="IB793" i="93"/>
  <c r="HV793" i="93"/>
  <c r="HQ793" i="93"/>
  <c r="HL793" i="93"/>
  <c r="HF793" i="93"/>
  <c r="HA793" i="93"/>
  <c r="GV793" i="93"/>
  <c r="GP793" i="93"/>
  <c r="GK793" i="93"/>
  <c r="GF793" i="93"/>
  <c r="FZ793" i="93"/>
  <c r="FU793" i="93"/>
  <c r="FP793" i="93"/>
  <c r="FJ793" i="93"/>
  <c r="FE793" i="93"/>
  <c r="EZ793" i="93"/>
  <c r="EP793" i="93"/>
  <c r="EB793" i="93"/>
  <c r="DP793" i="93"/>
  <c r="DA793" i="93"/>
  <c r="CT793" i="93"/>
  <c r="CN793" i="93"/>
  <c r="CF793" i="93"/>
  <c r="BY793" i="93"/>
  <c r="BR793" i="93"/>
  <c r="BJ793" i="93"/>
  <c r="BD793" i="93"/>
  <c r="AW793" i="93"/>
  <c r="AO793" i="93"/>
  <c r="AH793" i="93"/>
  <c r="AC793" i="93"/>
  <c r="W793" i="93"/>
  <c r="IA801" i="93"/>
  <c r="HE801" i="93"/>
  <c r="GO801" i="93"/>
  <c r="FT801" i="93"/>
  <c r="EZ801" i="93"/>
  <c r="CY801" i="93"/>
  <c r="CD801" i="93"/>
  <c r="BJ801" i="93"/>
  <c r="AM801" i="93"/>
  <c r="HK801" i="93"/>
  <c r="GF801" i="93"/>
  <c r="FK801" i="93"/>
  <c r="DX801" i="93"/>
  <c r="CA801" i="93"/>
  <c r="AX801" i="93"/>
  <c r="Z801" i="93"/>
  <c r="HX801" i="93"/>
  <c r="GQ801" i="93"/>
  <c r="FD801" i="93"/>
  <c r="CP801" i="93"/>
  <c r="BF801" i="93"/>
  <c r="HP801" i="93"/>
  <c r="GE801" i="93"/>
  <c r="EY801" i="93"/>
  <c r="CL801" i="93"/>
  <c r="AU801" i="93"/>
  <c r="A771" i="93"/>
  <c r="JH803" i="93"/>
  <c r="DT803" i="93"/>
  <c r="BV767" i="93"/>
  <c r="CY767" i="93"/>
  <c r="JJ767" i="93"/>
  <c r="AA769" i="93"/>
  <c r="AG769" i="93"/>
  <c r="AL769" i="93"/>
  <c r="AQ769" i="93"/>
  <c r="AW769" i="93"/>
  <c r="BB769" i="93"/>
  <c r="BG769" i="93"/>
  <c r="BM769" i="93"/>
  <c r="BR769" i="93"/>
  <c r="BW769" i="93"/>
  <c r="CC769" i="93"/>
  <c r="CH769" i="93"/>
  <c r="CM769" i="93"/>
  <c r="CS769" i="93"/>
  <c r="CX769" i="93"/>
  <c r="DC769" i="93"/>
  <c r="DI769" i="93"/>
  <c r="DN769" i="93"/>
  <c r="DS769" i="93"/>
  <c r="DY769" i="93"/>
  <c r="ED769" i="93"/>
  <c r="EI769" i="93"/>
  <c r="EO769" i="93"/>
  <c r="ET769" i="93"/>
  <c r="EY769" i="93"/>
  <c r="FE769" i="93"/>
  <c r="FJ769" i="93"/>
  <c r="FO769" i="93"/>
  <c r="FU769" i="93"/>
  <c r="FZ769" i="93"/>
  <c r="GE769" i="93"/>
  <c r="GK769" i="93"/>
  <c r="GP769" i="93"/>
  <c r="GU769" i="93"/>
  <c r="HA769" i="93"/>
  <c r="HF769" i="93"/>
  <c r="HK769" i="93"/>
  <c r="HQ769" i="93"/>
  <c r="HV769" i="93"/>
  <c r="IA769" i="93"/>
  <c r="IG769" i="93"/>
  <c r="IL769" i="93"/>
  <c r="IQ769" i="93"/>
  <c r="IW769" i="93"/>
  <c r="JB769" i="93"/>
  <c r="AD771" i="93"/>
  <c r="AP771" i="93"/>
  <c r="BI771" i="93"/>
  <c r="BW771" i="93"/>
  <c r="CG771" i="93"/>
  <c r="CP771" i="93"/>
  <c r="CZ771" i="93"/>
  <c r="DI771" i="93"/>
  <c r="DR771" i="93"/>
  <c r="EC771" i="93"/>
  <c r="EO771" i="93"/>
  <c r="IG771" i="93"/>
  <c r="IS771" i="93"/>
  <c r="JB771" i="93"/>
  <c r="JK771" i="93"/>
  <c r="BI773" i="93"/>
  <c r="BX773" i="93"/>
  <c r="CU773" i="93"/>
  <c r="DB773" i="93"/>
  <c r="ED773" i="93"/>
  <c r="FA773" i="93"/>
  <c r="FH773" i="93"/>
  <c r="FN773" i="93"/>
  <c r="FS773" i="93"/>
  <c r="FZ773" i="93"/>
  <c r="GF773" i="93"/>
  <c r="GL773" i="93"/>
  <c r="GR773" i="93"/>
  <c r="GX773" i="93"/>
  <c r="HD773" i="93"/>
  <c r="HK773" i="93"/>
  <c r="HP773" i="93"/>
  <c r="HV773" i="93"/>
  <c r="IC773" i="93"/>
  <c r="JJ773" i="93"/>
  <c r="CX775" i="93"/>
  <c r="AA777" i="93"/>
  <c r="AF777" i="93"/>
  <c r="AL777" i="93"/>
  <c r="AQ777" i="93"/>
  <c r="AV777" i="93"/>
  <c r="BB777" i="93"/>
  <c r="BG777" i="93"/>
  <c r="BL777" i="93"/>
  <c r="BR777" i="93"/>
  <c r="BW777" i="93"/>
  <c r="CB777" i="93"/>
  <c r="CH777" i="93"/>
  <c r="CM777" i="93"/>
  <c r="CR777" i="93"/>
  <c r="CX777" i="93"/>
  <c r="DC777" i="93"/>
  <c r="DH777" i="93"/>
  <c r="DP777" i="93"/>
  <c r="DW777" i="93"/>
  <c r="EC777" i="93"/>
  <c r="EK777" i="93"/>
  <c r="ER777" i="93"/>
  <c r="EX777" i="93"/>
  <c r="FD777" i="93"/>
  <c r="FI777" i="93"/>
  <c r="FN777" i="93"/>
  <c r="FT777" i="93"/>
  <c r="FY777" i="93"/>
  <c r="GD777" i="93"/>
  <c r="GJ777" i="93"/>
  <c r="GO777" i="93"/>
  <c r="GT777" i="93"/>
  <c r="GZ777" i="93"/>
  <c r="HE777" i="93"/>
  <c r="HJ777" i="93"/>
  <c r="HP777" i="93"/>
  <c r="HU777" i="93"/>
  <c r="HZ777" i="93"/>
  <c r="IF777" i="93"/>
  <c r="IK777" i="93"/>
  <c r="IQ777" i="93"/>
  <c r="IY777" i="93"/>
  <c r="JN777" i="93"/>
  <c r="Y779" i="93"/>
  <c r="AM779" i="93"/>
  <c r="BS779" i="93"/>
  <c r="BY779" i="93"/>
  <c r="CM779" i="93"/>
  <c r="CY779" i="93"/>
  <c r="DF779" i="93"/>
  <c r="DR779" i="93"/>
  <c r="EH779" i="93"/>
  <c r="ID779" i="93"/>
  <c r="IT779" i="93"/>
  <c r="JE779" i="93"/>
  <c r="JJ779" i="93"/>
  <c r="Y781" i="93"/>
  <c r="AD781" i="93"/>
  <c r="AJ781" i="93"/>
  <c r="AO781" i="93"/>
  <c r="AT781" i="93"/>
  <c r="AZ781" i="93"/>
  <c r="BE781" i="93"/>
  <c r="BJ781" i="93"/>
  <c r="BP781" i="93"/>
  <c r="BU781" i="93"/>
  <c r="BZ781" i="93"/>
  <c r="CF781" i="93"/>
  <c r="CK781" i="93"/>
  <c r="CP781" i="93"/>
  <c r="CV781" i="93"/>
  <c r="DA781" i="93"/>
  <c r="DG781" i="93"/>
  <c r="DO781" i="93"/>
  <c r="DV781" i="93"/>
  <c r="EB781" i="93"/>
  <c r="EJ781" i="93"/>
  <c r="EQ781" i="93"/>
  <c r="EW781" i="93"/>
  <c r="FC781" i="93"/>
  <c r="FH781" i="93"/>
  <c r="FM781" i="93"/>
  <c r="FS781" i="93"/>
  <c r="FX781" i="93"/>
  <c r="GC781" i="93"/>
  <c r="GI781" i="93"/>
  <c r="GN781" i="93"/>
  <c r="GS781" i="93"/>
  <c r="GY781" i="93"/>
  <c r="HD781" i="93"/>
  <c r="HI781" i="93"/>
  <c r="HO781" i="93"/>
  <c r="HT781" i="93"/>
  <c r="HY781" i="93"/>
  <c r="IE781" i="93"/>
  <c r="IJ781" i="93"/>
  <c r="IP781" i="93"/>
  <c r="IX781" i="93"/>
  <c r="JG781" i="93"/>
  <c r="AH783" i="93"/>
  <c r="BI783" i="93"/>
  <c r="BW783" i="93"/>
  <c r="CG783" i="93"/>
  <c r="CU783" i="93"/>
  <c r="DB783" i="93"/>
  <c r="DJ783" i="93"/>
  <c r="DZ783" i="93"/>
  <c r="EO783" i="93"/>
  <c r="IR783" i="93"/>
  <c r="JC783" i="93"/>
  <c r="JI783" i="93"/>
  <c r="Y785" i="93"/>
  <c r="AD785" i="93"/>
  <c r="AJ785" i="93"/>
  <c r="AO785" i="93"/>
  <c r="AT785" i="93"/>
  <c r="AZ785" i="93"/>
  <c r="BE785" i="93"/>
  <c r="BJ785" i="93"/>
  <c r="BP785" i="93"/>
  <c r="BU785" i="93"/>
  <c r="BZ785" i="93"/>
  <c r="CF785" i="93"/>
  <c r="CK785" i="93"/>
  <c r="CP785" i="93"/>
  <c r="CV785" i="93"/>
  <c r="DA785" i="93"/>
  <c r="DH785" i="93"/>
  <c r="DT785" i="93"/>
  <c r="EC785" i="93"/>
  <c r="EN785" i="93"/>
  <c r="EX785" i="93"/>
  <c r="FC785" i="93"/>
  <c r="FH785" i="93"/>
  <c r="FN785" i="93"/>
  <c r="FS785" i="93"/>
  <c r="FX785" i="93"/>
  <c r="GD785" i="93"/>
  <c r="GI785" i="93"/>
  <c r="GN785" i="93"/>
  <c r="GT785" i="93"/>
  <c r="GY785" i="93"/>
  <c r="HD785" i="93"/>
  <c r="HJ785" i="93"/>
  <c r="HO785" i="93"/>
  <c r="HT785" i="93"/>
  <c r="HZ785" i="93"/>
  <c r="IE785" i="93"/>
  <c r="IJ785" i="93"/>
  <c r="IR785" i="93"/>
  <c r="JA785" i="93"/>
  <c r="Z787" i="93"/>
  <c r="AP787" i="93"/>
  <c r="BM787" i="93"/>
  <c r="BX787" i="93"/>
  <c r="CK787" i="93"/>
  <c r="CU787" i="93"/>
  <c r="DB787" i="93"/>
  <c r="DO787" i="93"/>
  <c r="ED787" i="93"/>
  <c r="EP787" i="93"/>
  <c r="IE787" i="93"/>
  <c r="IU787" i="93"/>
  <c r="JE787" i="93"/>
  <c r="JL787" i="93"/>
  <c r="AC789" i="93"/>
  <c r="AI789" i="93"/>
  <c r="AP789" i="93"/>
  <c r="AX789" i="93"/>
  <c r="BE789" i="93"/>
  <c r="BK789" i="93"/>
  <c r="BS789" i="93"/>
  <c r="BZ789" i="93"/>
  <c r="CG789" i="93"/>
  <c r="CO789" i="93"/>
  <c r="CU789" i="93"/>
  <c r="DB789" i="93"/>
  <c r="DR789" i="93"/>
  <c r="EE789" i="93"/>
  <c r="EQ789" i="93"/>
  <c r="FB789" i="93"/>
  <c r="FI789" i="93"/>
  <c r="FP789" i="93"/>
  <c r="FX789" i="93"/>
  <c r="GD789" i="93"/>
  <c r="GK789" i="93"/>
  <c r="GS789" i="93"/>
  <c r="GZ789" i="93"/>
  <c r="HF789" i="93"/>
  <c r="HN789" i="93"/>
  <c r="HU789" i="93"/>
  <c r="IB789" i="93"/>
  <c r="IJ789" i="93"/>
  <c r="IT789" i="93"/>
  <c r="Z791" i="93"/>
  <c r="BK791" i="93"/>
  <c r="BZ791" i="93"/>
  <c r="CV791" i="93"/>
  <c r="DK791" i="93"/>
  <c r="EH791" i="93"/>
  <c r="IH791" i="93"/>
  <c r="JG791" i="93"/>
  <c r="Y793" i="93"/>
  <c r="AE793" i="93"/>
  <c r="AN793" i="93"/>
  <c r="AX793" i="93"/>
  <c r="BH793" i="93"/>
  <c r="BP793" i="93"/>
  <c r="BZ793" i="93"/>
  <c r="CJ793" i="93"/>
  <c r="CS793" i="93"/>
  <c r="DE793" i="93"/>
  <c r="DU793" i="93"/>
  <c r="EL793" i="93"/>
  <c r="FA793" i="93"/>
  <c r="FH793" i="93"/>
  <c r="FN793" i="93"/>
  <c r="FV793" i="93"/>
  <c r="GC793" i="93"/>
  <c r="GJ793" i="93"/>
  <c r="GR793" i="93"/>
  <c r="GX793" i="93"/>
  <c r="HE793" i="93"/>
  <c r="HM793" i="93"/>
  <c r="HT793" i="93"/>
  <c r="HZ793" i="93"/>
  <c r="IJ793" i="93"/>
  <c r="IX793" i="93"/>
  <c r="AC795" i="93"/>
  <c r="BU795" i="93"/>
  <c r="CC795" i="93"/>
  <c r="CY795" i="93"/>
  <c r="DP795" i="93"/>
  <c r="EN795" i="93"/>
  <c r="IE795" i="93"/>
  <c r="JF795" i="93"/>
  <c r="JL795" i="93"/>
  <c r="AF797" i="93"/>
  <c r="AV797" i="93"/>
  <c r="BS797" i="93"/>
  <c r="CR797" i="93"/>
  <c r="EP797" i="93"/>
  <c r="FF797" i="93"/>
  <c r="FR797" i="93"/>
  <c r="GF797" i="93"/>
  <c r="GR797" i="93"/>
  <c r="HC797" i="93"/>
  <c r="HR797" i="93"/>
  <c r="IF797" i="93"/>
  <c r="AI799" i="93"/>
  <c r="CE799" i="93"/>
  <c r="DA799" i="93"/>
  <c r="EI799" i="93"/>
  <c r="ID799" i="93"/>
  <c r="AL801" i="93"/>
  <c r="EC801" i="93"/>
  <c r="HA801" i="93"/>
  <c r="BY803" i="93"/>
  <c r="DP803" i="93"/>
  <c r="BX767" i="93"/>
  <c r="JK767" i="93"/>
  <c r="W769" i="93"/>
  <c r="AC769" i="93"/>
  <c r="AH769" i="93"/>
  <c r="AM769" i="93"/>
  <c r="AS769" i="93"/>
  <c r="AX769" i="93"/>
  <c r="BC769" i="93"/>
  <c r="BI769" i="93"/>
  <c r="BN769" i="93"/>
  <c r="BS769" i="93"/>
  <c r="BY769" i="93"/>
  <c r="CD769" i="93"/>
  <c r="CI769" i="93"/>
  <c r="CO769" i="93"/>
  <c r="CT769" i="93"/>
  <c r="CY769" i="93"/>
  <c r="DE769" i="93"/>
  <c r="DJ769" i="93"/>
  <c r="DO769" i="93"/>
  <c r="DU769" i="93"/>
  <c r="DZ769" i="93"/>
  <c r="EE769" i="93"/>
  <c r="EK769" i="93"/>
  <c r="EP769" i="93"/>
  <c r="EU769" i="93"/>
  <c r="FA769" i="93"/>
  <c r="FF769" i="93"/>
  <c r="FK769" i="93"/>
  <c r="FQ769" i="93"/>
  <c r="FV769" i="93"/>
  <c r="GA769" i="93"/>
  <c r="GG769" i="93"/>
  <c r="GL769" i="93"/>
  <c r="GQ769" i="93"/>
  <c r="GW769" i="93"/>
  <c r="HB769" i="93"/>
  <c r="HG769" i="93"/>
  <c r="HM769" i="93"/>
  <c r="HR769" i="93"/>
  <c r="HW769" i="93"/>
  <c r="IC769" i="93"/>
  <c r="IH769" i="93"/>
  <c r="IM769" i="93"/>
  <c r="IS769" i="93"/>
  <c r="IX769" i="93"/>
  <c r="JE769" i="93"/>
  <c r="AH771" i="93"/>
  <c r="AS771" i="93"/>
  <c r="BN771" i="93"/>
  <c r="BY771" i="93"/>
  <c r="CH771" i="93"/>
  <c r="CS771" i="93"/>
  <c r="DB771" i="93"/>
  <c r="DJ771" i="93"/>
  <c r="DU771" i="93"/>
  <c r="EG771" i="93"/>
  <c r="EP771" i="93"/>
  <c r="IT771" i="93"/>
  <c r="BJ773" i="93"/>
  <c r="BY773" i="93"/>
  <c r="CW773" i="93"/>
  <c r="DC773" i="93"/>
  <c r="EE773" i="93"/>
  <c r="FC773" i="93"/>
  <c r="FI773" i="93"/>
  <c r="FO773" i="93"/>
  <c r="FV773" i="93"/>
  <c r="GA773" i="93"/>
  <c r="GG773" i="93"/>
  <c r="GN773" i="93"/>
  <c r="GT773" i="93"/>
  <c r="GY773" i="93"/>
  <c r="HF773" i="93"/>
  <c r="HL773" i="93"/>
  <c r="HR773" i="93"/>
  <c r="HX773" i="93"/>
  <c r="II773" i="93"/>
  <c r="W775" i="93"/>
  <c r="W777" i="93"/>
  <c r="AB777" i="93"/>
  <c r="AH777" i="93"/>
  <c r="AM777" i="93"/>
  <c r="AR777" i="93"/>
  <c r="AX777" i="93"/>
  <c r="BC777" i="93"/>
  <c r="BH777" i="93"/>
  <c r="BN777" i="93"/>
  <c r="BS777" i="93"/>
  <c r="BX777" i="93"/>
  <c r="CD777" i="93"/>
  <c r="CI777" i="93"/>
  <c r="CN777" i="93"/>
  <c r="CT777" i="93"/>
  <c r="CY777" i="93"/>
  <c r="DD777" i="93"/>
  <c r="DK777" i="93"/>
  <c r="DQ777" i="93"/>
  <c r="DX777" i="93"/>
  <c r="EF777" i="93"/>
  <c r="EM777" i="93"/>
  <c r="ES777" i="93"/>
  <c r="EZ777" i="93"/>
  <c r="FE777" i="93"/>
  <c r="FJ777" i="93"/>
  <c r="FP777" i="93"/>
  <c r="FU777" i="93"/>
  <c r="FZ777" i="93"/>
  <c r="GF777" i="93"/>
  <c r="GK777" i="93"/>
  <c r="GP777" i="93"/>
  <c r="GV777" i="93"/>
  <c r="HA777" i="93"/>
  <c r="HF777" i="93"/>
  <c r="HL777" i="93"/>
  <c r="HQ777" i="93"/>
  <c r="HV777" i="93"/>
  <c r="IB777" i="93"/>
  <c r="IG777" i="93"/>
  <c r="IL777" i="93"/>
  <c r="IS777" i="93"/>
  <c r="IZ777" i="93"/>
  <c r="AC779" i="93"/>
  <c r="AX779" i="93"/>
  <c r="BU779" i="93"/>
  <c r="CC779" i="93"/>
  <c r="CS779" i="93"/>
  <c r="CZ779" i="93"/>
  <c r="DG779" i="93"/>
  <c r="DW779" i="93"/>
  <c r="EL779" i="93"/>
  <c r="IX779" i="93"/>
  <c r="JF779" i="93"/>
  <c r="Z781" i="93"/>
  <c r="AF781" i="93"/>
  <c r="AK781" i="93"/>
  <c r="AP781" i="93"/>
  <c r="AV781" i="93"/>
  <c r="BA781" i="93"/>
  <c r="BF781" i="93"/>
  <c r="BL781" i="93"/>
  <c r="BQ781" i="93"/>
  <c r="BV781" i="93"/>
  <c r="CB781" i="93"/>
  <c r="CG781" i="93"/>
  <c r="CL781" i="93"/>
  <c r="CR781" i="93"/>
  <c r="CW781" i="93"/>
  <c r="DB781" i="93"/>
  <c r="DJ781" i="93"/>
  <c r="DP781" i="93"/>
  <c r="DW781" i="93"/>
  <c r="EE781" i="93"/>
  <c r="EL781" i="93"/>
  <c r="ER781" i="93"/>
  <c r="EY781" i="93"/>
  <c r="FD781" i="93"/>
  <c r="FI781" i="93"/>
  <c r="FO781" i="93"/>
  <c r="FT781" i="93"/>
  <c r="FY781" i="93"/>
  <c r="GE781" i="93"/>
  <c r="GJ781" i="93"/>
  <c r="GO781" i="93"/>
  <c r="GU781" i="93"/>
  <c r="GZ781" i="93"/>
  <c r="HE781" i="93"/>
  <c r="HK781" i="93"/>
  <c r="HP781" i="93"/>
  <c r="HU781" i="93"/>
  <c r="IA781" i="93"/>
  <c r="IF781" i="93"/>
  <c r="IK781" i="93"/>
  <c r="IR781" i="93"/>
  <c r="IY781" i="93"/>
  <c r="JO781" i="93"/>
  <c r="X783" i="93"/>
  <c r="AN783" i="93"/>
  <c r="BR783" i="93"/>
  <c r="BX783" i="93"/>
  <c r="CL783" i="93"/>
  <c r="CV783" i="93"/>
  <c r="DC783" i="93"/>
  <c r="DP783" i="93"/>
  <c r="ED783" i="93"/>
  <c r="EP783" i="93"/>
  <c r="IV783" i="93"/>
  <c r="JD783" i="93"/>
  <c r="Z785" i="93"/>
  <c r="AF785" i="93"/>
  <c r="AK785" i="93"/>
  <c r="AP785" i="93"/>
  <c r="AV785" i="93"/>
  <c r="BA785" i="93"/>
  <c r="BF785" i="93"/>
  <c r="BL785" i="93"/>
  <c r="BQ785" i="93"/>
  <c r="BV785" i="93"/>
  <c r="CB785" i="93"/>
  <c r="CG785" i="93"/>
  <c r="CL785" i="93"/>
  <c r="CR785" i="93"/>
  <c r="CW785" i="93"/>
  <c r="DB785" i="93"/>
  <c r="DL785" i="93"/>
  <c r="DU785" i="93"/>
  <c r="EF785" i="93"/>
  <c r="ER785" i="93"/>
  <c r="EY785" i="93"/>
  <c r="FD785" i="93"/>
  <c r="FJ785" i="93"/>
  <c r="FO785" i="93"/>
  <c r="FT785" i="93"/>
  <c r="FZ785" i="93"/>
  <c r="GE785" i="93"/>
  <c r="GJ785" i="93"/>
  <c r="GP785" i="93"/>
  <c r="GU785" i="93"/>
  <c r="GZ785" i="93"/>
  <c r="HF785" i="93"/>
  <c r="HK785" i="93"/>
  <c r="HP785" i="93"/>
  <c r="HV785" i="93"/>
  <c r="IA785" i="93"/>
  <c r="IF785" i="93"/>
  <c r="IL785" i="93"/>
  <c r="IS785" i="93"/>
  <c r="JH785" i="93"/>
  <c r="AE787" i="93"/>
  <c r="AQ787" i="93"/>
  <c r="BQ787" i="93"/>
  <c r="BZ787" i="93"/>
  <c r="CL787" i="93"/>
  <c r="CX787" i="93"/>
  <c r="DE787" i="93"/>
  <c r="DS787" i="93"/>
  <c r="EE787" i="93"/>
  <c r="EU787" i="93"/>
  <c r="IW787" i="93"/>
  <c r="W789" i="93"/>
  <c r="AD789" i="93"/>
  <c r="AK789" i="93"/>
  <c r="AS789" i="93"/>
  <c r="AY789" i="93"/>
  <c r="BF789" i="93"/>
  <c r="BN789" i="93"/>
  <c r="BU789" i="93"/>
  <c r="CA789" i="93"/>
  <c r="CI789" i="93"/>
  <c r="CP789" i="93"/>
  <c r="CW789" i="93"/>
  <c r="DG789" i="93"/>
  <c r="DS789" i="93"/>
  <c r="EH789" i="93"/>
  <c r="EW789" i="93"/>
  <c r="FD789" i="93"/>
  <c r="FJ789" i="93"/>
  <c r="FR789" i="93"/>
  <c r="FY789" i="93"/>
  <c r="GF789" i="93"/>
  <c r="GN789" i="93"/>
  <c r="GT789" i="93"/>
  <c r="HA789" i="93"/>
  <c r="HI789" i="93"/>
  <c r="HP789" i="93"/>
  <c r="HV789" i="93"/>
  <c r="ID789" i="93"/>
  <c r="IK789" i="93"/>
  <c r="IX789" i="93"/>
  <c r="AI791" i="93"/>
  <c r="BP791" i="93"/>
  <c r="CB791" i="93"/>
  <c r="CZ791" i="93"/>
  <c r="DR791" i="93"/>
  <c r="EM791" i="93"/>
  <c r="Z793" i="93"/>
  <c r="AG793" i="93"/>
  <c r="AR793" i="93"/>
  <c r="AZ793" i="93"/>
  <c r="BI793" i="93"/>
  <c r="BT793" i="93"/>
  <c r="CC793" i="93"/>
  <c r="CK793" i="93"/>
  <c r="CV793" i="93"/>
  <c r="DF793" i="93"/>
  <c r="DZ793" i="93"/>
  <c r="EV793" i="93"/>
  <c r="FB793" i="93"/>
  <c r="FI793" i="93"/>
  <c r="FQ793" i="93"/>
  <c r="FX793" i="93"/>
  <c r="GD793" i="93"/>
  <c r="GL793" i="93"/>
  <c r="GS793" i="93"/>
  <c r="GZ793" i="93"/>
  <c r="HH793" i="93"/>
  <c r="HN793" i="93"/>
  <c r="HU793" i="93"/>
  <c r="IC793" i="93"/>
  <c r="IL793" i="93"/>
  <c r="JB793" i="93"/>
  <c r="AK795" i="93"/>
  <c r="BV795" i="93"/>
  <c r="CK795" i="93"/>
  <c r="DB795" i="93"/>
  <c r="DS795" i="93"/>
  <c r="ES795" i="93"/>
  <c r="AK797" i="93"/>
  <c r="BB797" i="93"/>
  <c r="BW797" i="93"/>
  <c r="CY797" i="93"/>
  <c r="ET797" i="93"/>
  <c r="FJ797" i="93"/>
  <c r="FW797" i="93"/>
  <c r="GH797" i="93"/>
  <c r="GU797" i="93"/>
  <c r="HH797" i="93"/>
  <c r="HV797" i="93"/>
  <c r="IL797" i="93"/>
  <c r="AZ799" i="93"/>
  <c r="DF799" i="93"/>
  <c r="IX799" i="93"/>
  <c r="BR801" i="93"/>
  <c r="FO801" i="93"/>
  <c r="JL801" i="93"/>
  <c r="CT803" i="93"/>
  <c r="ER803" i="93"/>
  <c r="IS803" i="93"/>
  <c r="IF795" i="93"/>
  <c r="IG787" i="93"/>
  <c r="IF783" i="93"/>
  <c r="IH779" i="93"/>
  <c r="I903" i="93"/>
  <c r="IF803" i="93"/>
  <c r="IH799" i="93"/>
  <c r="IF791" i="93"/>
  <c r="IS775" i="93"/>
  <c r="IZ771"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M799" i="93"/>
  <c r="JI799" i="93"/>
  <c r="IQ799" i="93"/>
  <c r="HY799" i="93"/>
  <c r="HI799" i="93"/>
  <c r="GS799" i="93"/>
  <c r="GC799" i="93"/>
  <c r="FM799" i="93"/>
  <c r="FA799" i="93"/>
  <c r="EW799" i="93"/>
  <c r="EH799" i="93"/>
  <c r="DN799" i="93"/>
  <c r="DB799" i="93"/>
  <c r="CW799" i="93"/>
  <c r="CI799" i="93"/>
  <c r="BW799" i="93"/>
  <c r="BD799" i="93"/>
  <c r="AA799" i="93"/>
  <c r="JH799" i="93"/>
  <c r="HN799" i="93"/>
  <c r="GP799" i="93"/>
  <c r="FU799" i="93"/>
  <c r="FB799" i="93"/>
  <c r="ER799" i="93"/>
  <c r="DW799" i="93"/>
  <c r="DC799" i="93"/>
  <c r="CV799" i="93"/>
  <c r="BY799" i="93"/>
  <c r="BT799" i="93"/>
  <c r="X799" i="93"/>
  <c r="JQ803" i="93"/>
  <c r="JJ803" i="93"/>
  <c r="JD803" i="93"/>
  <c r="HO803" i="93"/>
  <c r="GY803" i="93"/>
  <c r="GI803" i="93"/>
  <c r="FS803" i="93"/>
  <c r="FC803" i="93"/>
  <c r="EX803" i="93"/>
  <c r="EF803" i="93"/>
  <c r="DE803" i="93"/>
  <c r="DA803" i="93"/>
  <c r="CW803" i="93"/>
  <c r="CH803" i="93"/>
  <c r="BW803" i="93"/>
  <c r="BD803" i="93"/>
  <c r="JL803" i="93"/>
  <c r="JE803" i="93"/>
  <c r="HX803" i="93"/>
  <c r="HG803" i="93"/>
  <c r="GJ803" i="93"/>
  <c r="FL803" i="93"/>
  <c r="EZ803" i="93"/>
  <c r="EO803" i="93"/>
  <c r="DD803" i="93"/>
  <c r="CY803" i="93"/>
  <c r="CR803" i="93"/>
  <c r="BV803" i="93"/>
  <c r="AC803" i="93"/>
  <c r="JO771" i="93"/>
  <c r="JL775" i="93"/>
  <c r="CU775" i="93"/>
  <c r="CU779" i="93"/>
  <c r="CW783" i="93"/>
  <c r="CV787" i="93"/>
  <c r="CX791" i="93"/>
  <c r="CX795" i="93"/>
  <c r="CX799" i="93"/>
  <c r="CU803" i="93"/>
  <c r="JO767" i="93"/>
  <c r="I889" i="93"/>
  <c r="M889" i="93"/>
  <c r="I907" i="93"/>
  <c r="M907" i="93"/>
  <c r="J912" i="93"/>
  <c r="K923" i="93"/>
  <c r="BW767" i="93"/>
  <c r="CW767" i="93"/>
  <c r="DB767" i="93"/>
  <c r="EY767" i="93"/>
  <c r="FH767" i="93"/>
  <c r="FX767" i="93"/>
  <c r="GN767" i="93"/>
  <c r="HD767" i="93"/>
  <c r="HT767" i="93"/>
  <c r="JI767" i="93"/>
  <c r="AG771" i="93"/>
  <c r="AO771" i="93"/>
  <c r="BA771" i="93"/>
  <c r="BQ771" i="93"/>
  <c r="BX771" i="93"/>
  <c r="CD771" i="93"/>
  <c r="CL771" i="93"/>
  <c r="CV771" i="93"/>
  <c r="DA771" i="93"/>
  <c r="DF771" i="93"/>
  <c r="DN771" i="93"/>
  <c r="DV771" i="93"/>
  <c r="ED771" i="93"/>
  <c r="EL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H771" i="93"/>
  <c r="IP771" i="93"/>
  <c r="IX771" i="93"/>
  <c r="JH771" i="93"/>
  <c r="BS775" i="93"/>
  <c r="CY775" i="93"/>
  <c r="ES775" i="93"/>
  <c r="FD775" i="93"/>
  <c r="FL775" i="93"/>
  <c r="FT775" i="93"/>
  <c r="GB775" i="93"/>
  <c r="GJ775" i="93"/>
  <c r="GR775" i="93"/>
  <c r="GZ775" i="93"/>
  <c r="HH775" i="93"/>
  <c r="HP775" i="93"/>
  <c r="HX775" i="93"/>
  <c r="IT775" i="93"/>
  <c r="JP775" i="93"/>
  <c r="AD779" i="93"/>
  <c r="AO779" i="93"/>
  <c r="BJ779" i="93"/>
  <c r="BW779" i="93"/>
  <c r="CD779" i="93"/>
  <c r="CO779" i="93"/>
  <c r="CX779" i="93"/>
  <c r="DB779" i="93"/>
  <c r="DK779" i="93"/>
  <c r="DV779" i="93"/>
  <c r="EG779" i="93"/>
  <c r="EQ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IS779" i="93"/>
  <c r="JC779" i="93"/>
  <c r="JG779" i="93"/>
  <c r="JK779" i="93"/>
  <c r="AB783" i="93"/>
  <c r="AL783" i="93"/>
  <c r="BH783" i="93"/>
  <c r="BU783" i="93"/>
  <c r="BY783" i="93"/>
  <c r="CH783" i="93"/>
  <c r="CS783" i="93"/>
  <c r="CZ783" i="93"/>
  <c r="DD783" i="93"/>
  <c r="DN783" i="93"/>
  <c r="DY783" i="93"/>
  <c r="EJ783" i="93"/>
  <c r="ET783" i="93"/>
  <c r="EY783" i="93"/>
  <c r="FC783" i="93"/>
  <c r="FG783" i="93"/>
  <c r="FK783" i="93"/>
  <c r="FO783" i="93"/>
  <c r="FS783" i="93"/>
  <c r="FW783" i="93"/>
  <c r="GA783" i="93"/>
  <c r="GE783" i="93"/>
  <c r="GI783" i="93"/>
  <c r="GM783" i="93"/>
  <c r="GQ783" i="93"/>
  <c r="GU783" i="93"/>
  <c r="GY783" i="93"/>
  <c r="HC783" i="93"/>
  <c r="HG783" i="93"/>
  <c r="HK783" i="93"/>
  <c r="HO783" i="93"/>
  <c r="HT783" i="93"/>
  <c r="HY783" i="93"/>
  <c r="IP783" i="93"/>
  <c r="JA783" i="93"/>
  <c r="JF783" i="93"/>
  <c r="JJ783" i="93"/>
  <c r="AA787" i="93"/>
  <c r="AL787" i="93"/>
  <c r="BB787" i="93"/>
  <c r="BU787" i="93"/>
  <c r="BY787" i="93"/>
  <c r="CG787" i="93"/>
  <c r="CQ787" i="93"/>
  <c r="CY787" i="93"/>
  <c r="DC787" i="93"/>
  <c r="DN787" i="93"/>
  <c r="DY787" i="93"/>
  <c r="EI787" i="93"/>
  <c r="ET787" i="93"/>
  <c r="EY787" i="93"/>
  <c r="FE787" i="93"/>
  <c r="FM787" i="93"/>
  <c r="FU787" i="93"/>
  <c r="GC787" i="93"/>
  <c r="GK787" i="93"/>
  <c r="GS787" i="93"/>
  <c r="HA787" i="93"/>
  <c r="HI787" i="93"/>
  <c r="HQ787" i="93"/>
  <c r="HY787" i="93"/>
  <c r="IQ787" i="93"/>
  <c r="JB787" i="93"/>
  <c r="JI787" i="93"/>
  <c r="AA791" i="93"/>
  <c r="BB791" i="93"/>
  <c r="BW791" i="93"/>
  <c r="CH791" i="93"/>
  <c r="CY791" i="93"/>
  <c r="DF791" i="93"/>
  <c r="DX791" i="93"/>
  <c r="ET791" i="93"/>
  <c r="EZ791" i="93"/>
  <c r="FI791" i="93"/>
  <c r="FU791" i="93"/>
  <c r="GF791" i="93"/>
  <c r="GO791" i="93"/>
  <c r="HD791" i="93"/>
  <c r="HY791" i="93"/>
  <c r="IN791" i="93"/>
  <c r="JI791" i="93"/>
  <c r="AI795" i="93"/>
  <c r="BM795" i="93"/>
  <c r="BY795" i="93"/>
  <c r="CQ795" i="93"/>
  <c r="CZ795" i="93"/>
  <c r="DK795" i="93"/>
  <c r="EE795" i="93"/>
  <c r="EU795" i="93"/>
  <c r="FE795" i="93"/>
  <c r="FV795" i="93"/>
  <c r="GS795" i="93"/>
  <c r="HQ795" i="93"/>
  <c r="IZ795" i="93"/>
  <c r="JJ795" i="93"/>
  <c r="AJ799" i="93"/>
  <c r="BX799" i="93"/>
  <c r="CY799" i="93"/>
  <c r="DG799" i="93"/>
  <c r="EQ799" i="93"/>
  <c r="FE799" i="93"/>
  <c r="GH799" i="93"/>
  <c r="HF799" i="93"/>
  <c r="IN799" i="93"/>
  <c r="JK799" i="93"/>
  <c r="BU803" i="93"/>
  <c r="CS803" i="93"/>
  <c r="DB803" i="93"/>
  <c r="ED803" i="93"/>
  <c r="FA803" i="93"/>
  <c r="GA803" i="93"/>
  <c r="GZ803" i="93"/>
  <c r="IH803" i="93"/>
  <c r="JI803" i="93"/>
  <c r="JO788" i="93"/>
  <c r="JK788" i="93"/>
  <c r="JG788" i="93"/>
  <c r="JC788" i="93"/>
  <c r="IA788" i="93"/>
  <c r="HW788" i="93"/>
  <c r="HS788" i="93"/>
  <c r="HO788" i="93"/>
  <c r="HK788" i="93"/>
  <c r="HG788" i="93"/>
  <c r="HC788" i="93"/>
  <c r="GY788" i="93"/>
  <c r="GU788" i="93"/>
  <c r="GQ788" i="93"/>
  <c r="GM788"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J800" i="93"/>
  <c r="JC800" i="93"/>
  <c r="HY800" i="93"/>
  <c r="HS800" i="93"/>
  <c r="HN800" i="93"/>
  <c r="HI800" i="93"/>
  <c r="HC800" i="93"/>
  <c r="GX800" i="93"/>
  <c r="GS800" i="93"/>
  <c r="GM800" i="93"/>
  <c r="GH800" i="93"/>
  <c r="GC800" i="93"/>
  <c r="FW800" i="93"/>
  <c r="FR800" i="93"/>
  <c r="FM800" i="93"/>
  <c r="FG800" i="93"/>
  <c r="FB800" i="93"/>
  <c r="EW800" i="93"/>
  <c r="CY800" i="93"/>
  <c r="BY800" i="93"/>
  <c r="AM800" i="93"/>
  <c r="JM804" i="93"/>
  <c r="JE804" i="93"/>
  <c r="HX804" i="93"/>
  <c r="HP804" i="93"/>
  <c r="HH804" i="93"/>
  <c r="GZ804" i="93"/>
  <c r="GR804" i="93"/>
  <c r="GJ804" i="93"/>
  <c r="GB804" i="93"/>
  <c r="FT804" i="93"/>
  <c r="FL804" i="93"/>
  <c r="FD804" i="93"/>
  <c r="EI804" i="93"/>
  <c r="CZ804" i="93"/>
  <c r="CU804" i="93"/>
  <c r="BW804" i="93"/>
  <c r="JI804" i="93"/>
  <c r="HY804" i="93"/>
  <c r="HM804" i="93"/>
  <c r="HD804" i="93"/>
  <c r="GS804" i="93"/>
  <c r="GG804" i="93"/>
  <c r="FX804" i="93"/>
  <c r="FM804" i="93"/>
  <c r="FA804" i="93"/>
  <c r="DB804" i="93"/>
  <c r="CV804" i="93"/>
  <c r="BV804" i="93"/>
  <c r="CV788" i="93"/>
  <c r="CU792" i="93"/>
  <c r="CU796" i="93"/>
  <c r="CW800" i="93"/>
  <c r="CW804" i="93"/>
  <c r="DR778" i="93"/>
  <c r="ER782" i="93"/>
  <c r="IM786" i="93"/>
  <c r="EH790" i="93"/>
  <c r="AB794" i="93"/>
  <c r="EW772" i="93"/>
  <c r="JP800" i="93"/>
  <c r="JP804" i="93"/>
  <c r="DL782" i="93"/>
  <c r="IP790" i="93"/>
  <c r="HF768" i="93"/>
  <c r="L885" i="93"/>
  <c r="EF802" i="93"/>
  <c r="DG768" i="93"/>
  <c r="IA770" i="93"/>
  <c r="HW774" i="93"/>
  <c r="HP778" i="93"/>
  <c r="GU782" i="93"/>
  <c r="FP802" i="93"/>
  <c r="G885" i="93"/>
  <c r="H889" i="93"/>
  <c r="L889" i="93"/>
  <c r="P889" i="93"/>
  <c r="K916" i="93"/>
  <c r="N898" i="93"/>
  <c r="H898" i="93"/>
  <c r="L898" i="93"/>
  <c r="P898" i="93"/>
  <c r="I912" i="93"/>
  <c r="K932" i="93"/>
  <c r="K942" i="93"/>
  <c r="F934" i="93"/>
  <c r="F925" i="93"/>
  <c r="O839" i="93"/>
  <c r="O838" i="93"/>
  <c r="FB768" i="93"/>
  <c r="GH768" i="93"/>
  <c r="HN768" i="93"/>
  <c r="JQ768" i="93"/>
  <c r="FE770" i="93"/>
  <c r="FT772" i="93"/>
  <c r="FF774" i="93"/>
  <c r="HL774" i="93"/>
  <c r="JN768" i="93"/>
  <c r="GK770" i="93"/>
  <c r="GQ772" i="93"/>
  <c r="FV774" i="93"/>
  <c r="IB774" i="93"/>
  <c r="HQ770" i="93"/>
  <c r="JI774" i="93"/>
  <c r="FQ768" i="93"/>
  <c r="GP770" i="93"/>
  <c r="GR772" i="93"/>
  <c r="GA774" i="93"/>
  <c r="FJ768" i="93"/>
  <c r="GW768" i="93"/>
  <c r="IE768" i="93"/>
  <c r="GU770" i="93"/>
  <c r="HO772" i="93"/>
  <c r="GL774" i="93"/>
  <c r="BU768" i="93"/>
  <c r="GP768" i="93"/>
  <c r="HV768" i="93"/>
  <c r="CU768" i="93"/>
  <c r="FR768" i="93"/>
  <c r="DC768" i="93"/>
  <c r="FY768" i="93"/>
  <c r="HE768" i="93"/>
  <c r="AM770" i="93"/>
  <c r="HK770" i="93"/>
  <c r="HP772" i="93"/>
  <c r="GQ774" i="93"/>
  <c r="IC768" i="93"/>
  <c r="CV768" i="93"/>
  <c r="GX768" i="93"/>
  <c r="FZ768" i="93"/>
  <c r="CI770" i="93"/>
  <c r="GV774" i="93"/>
  <c r="JH770" i="93"/>
  <c r="IC767" i="93"/>
  <c r="FT767" i="93"/>
  <c r="HH767" i="93"/>
  <c r="JE767" i="93"/>
  <c r="JM767" i="93"/>
  <c r="FK767" i="93"/>
  <c r="GA767" i="93"/>
  <c r="GQ767" i="93"/>
  <c r="HG767" i="93"/>
  <c r="HO767" i="93"/>
  <c r="JD767" i="93"/>
  <c r="FD767" i="93"/>
  <c r="GB767" i="93"/>
  <c r="GZ767" i="93"/>
  <c r="HP767" i="93"/>
  <c r="FE767" i="93"/>
  <c r="FM767" i="93"/>
  <c r="FU767" i="93"/>
  <c r="GC767" i="93"/>
  <c r="GK767" i="93"/>
  <c r="GS767" i="93"/>
  <c r="HA767" i="93"/>
  <c r="HI767" i="93"/>
  <c r="HQ767" i="93"/>
  <c r="HY767" i="93"/>
  <c r="JF767" i="93"/>
  <c r="JN767" i="93"/>
  <c r="FI767" i="93"/>
  <c r="FQ767" i="93"/>
  <c r="FY767" i="93"/>
  <c r="GG767" i="93"/>
  <c r="GO767" i="93"/>
  <c r="GW767" i="93"/>
  <c r="HE767" i="93"/>
  <c r="HM767" i="93"/>
  <c r="HU767" i="93"/>
  <c r="FB767" i="93"/>
  <c r="FJ767" i="93"/>
  <c r="FR767" i="93"/>
  <c r="FZ767" i="93"/>
  <c r="GH767" i="93"/>
  <c r="GP767" i="93"/>
  <c r="GX767" i="93"/>
  <c r="HF767" i="93"/>
  <c r="HN767" i="93"/>
  <c r="HV767" i="93"/>
  <c r="JC767" i="93"/>
  <c r="FC767" i="93"/>
  <c r="FS767" i="93"/>
  <c r="GI767" i="93"/>
  <c r="GY767" i="93"/>
  <c r="HW767" i="93"/>
  <c r="JL767" i="93"/>
  <c r="FL767" i="93"/>
  <c r="GJ767" i="93"/>
  <c r="GR767" i="93"/>
  <c r="HX767" i="93"/>
  <c r="FF767" i="93"/>
  <c r="FN767" i="93"/>
  <c r="FV767" i="93"/>
  <c r="GD767" i="93"/>
  <c r="GL767" i="93"/>
  <c r="GT767" i="93"/>
  <c r="HB767" i="93"/>
  <c r="HJ767" i="93"/>
  <c r="HR767" i="93"/>
  <c r="HZ767" i="93"/>
  <c r="JA767" i="93"/>
  <c r="EL775" i="93"/>
  <c r="IX775" i="93"/>
  <c r="AD775" i="93"/>
  <c r="CD775" i="93"/>
  <c r="DK775" i="93"/>
  <c r="AH775" i="93"/>
  <c r="CH775" i="93"/>
  <c r="DM775" i="93"/>
  <c r="AI775" i="93"/>
  <c r="CI775" i="93"/>
  <c r="DQ775" i="93"/>
  <c r="AX775" i="93"/>
  <c r="CS775" i="93"/>
  <c r="DW775" i="93"/>
  <c r="II775" i="93"/>
  <c r="BJ775" i="93"/>
  <c r="EG775" i="93"/>
  <c r="ES774" i="93"/>
  <c r="AQ774" i="93"/>
  <c r="CB773" i="93"/>
  <c r="X773" i="93"/>
  <c r="AY773" i="93"/>
  <c r="BS773" i="93"/>
  <c r="CI773" i="93"/>
  <c r="DM773" i="93"/>
  <c r="EM773" i="93"/>
  <c r="IK773" i="93"/>
  <c r="BR773" i="93"/>
  <c r="EL773" i="93"/>
  <c r="Z773" i="93"/>
  <c r="AZ773" i="93"/>
  <c r="CJ773" i="93"/>
  <c r="DT773" i="93"/>
  <c r="EN773" i="93"/>
  <c r="IR773" i="93"/>
  <c r="AR773" i="93"/>
  <c r="IJ773" i="93"/>
  <c r="AF773" i="93"/>
  <c r="BA773" i="93"/>
  <c r="CL773" i="93"/>
  <c r="DU773" i="93"/>
  <c r="EU773" i="93"/>
  <c r="IS773" i="93"/>
  <c r="W773" i="93"/>
  <c r="DL773" i="93"/>
  <c r="AH773" i="93"/>
  <c r="BH773" i="93"/>
  <c r="CR773" i="93"/>
  <c r="DV773" i="93"/>
  <c r="EV773" i="93"/>
  <c r="IT773" i="93"/>
  <c r="AJ773" i="93"/>
  <c r="BB773" i="93"/>
  <c r="BT773" i="93"/>
  <c r="CM773" i="93"/>
  <c r="DN773" i="93"/>
  <c r="EP773" i="93"/>
  <c r="IU773" i="93"/>
  <c r="AK773" i="93"/>
  <c r="BC773" i="93"/>
  <c r="CE773" i="93"/>
  <c r="DF773" i="93"/>
  <c r="DX773" i="93"/>
  <c r="EH773" i="93"/>
  <c r="ID773" i="93"/>
  <c r="IV773" i="93"/>
  <c r="AL773" i="93"/>
  <c r="BD773" i="93"/>
  <c r="CO773" i="93"/>
  <c r="DG773" i="93"/>
  <c r="DZ773" i="93"/>
  <c r="ER773" i="93"/>
  <c r="IN773" i="93"/>
  <c r="AD773" i="93"/>
  <c r="AM773" i="93"/>
  <c r="AV773" i="93"/>
  <c r="BF773" i="93"/>
  <c r="BO773" i="93"/>
  <c r="CG773" i="93"/>
  <c r="CP773" i="93"/>
  <c r="DH773" i="93"/>
  <c r="DR773" i="93"/>
  <c r="EA773" i="93"/>
  <c r="EJ773" i="93"/>
  <c r="ES773" i="93"/>
  <c r="IF773" i="93"/>
  <c r="IP773" i="93"/>
  <c r="IY773" i="93"/>
  <c r="AA773" i="93"/>
  <c r="AS773" i="93"/>
  <c r="BK773" i="93"/>
  <c r="CD773" i="93"/>
  <c r="DE773" i="93"/>
  <c r="DW773" i="93"/>
  <c r="EF773" i="93"/>
  <c r="IL773" i="93"/>
  <c r="AB773" i="93"/>
  <c r="AT773" i="93"/>
  <c r="BL773" i="93"/>
  <c r="CN773" i="93"/>
  <c r="DO773" i="93"/>
  <c r="EQ773" i="93"/>
  <c r="IM773" i="93"/>
  <c r="AC773" i="93"/>
  <c r="AU773" i="93"/>
  <c r="BN773" i="93"/>
  <c r="CF773" i="93"/>
  <c r="DP773" i="93"/>
  <c r="EI773" i="93"/>
  <c r="IE773" i="93"/>
  <c r="IX773" i="93"/>
  <c r="AE773" i="93"/>
  <c r="AN773" i="93"/>
  <c r="AX773" i="93"/>
  <c r="BG773" i="93"/>
  <c r="BP773" i="93"/>
  <c r="CH773" i="93"/>
  <c r="CQ773" i="93"/>
  <c r="DJ773" i="93"/>
  <c r="DS773" i="93"/>
  <c r="EB773" i="93"/>
  <c r="EK773" i="93"/>
  <c r="ET773" i="93"/>
  <c r="IH773" i="93"/>
  <c r="IQ773" i="93"/>
  <c r="JI775" i="93"/>
  <c r="JQ775" i="93"/>
  <c r="JN774" i="93"/>
  <c r="AM775" i="93"/>
  <c r="BV775" i="93"/>
  <c r="CM775" i="93"/>
  <c r="DA775" i="93"/>
  <c r="DR775" i="93"/>
  <c r="EM775" i="93"/>
  <c r="FB775" i="93"/>
  <c r="FJ775" i="93"/>
  <c r="FR775" i="93"/>
  <c r="FZ775" i="93"/>
  <c r="GH775" i="93"/>
  <c r="GP775" i="93"/>
  <c r="GX775" i="93"/>
  <c r="HF775" i="93"/>
  <c r="HN775" i="93"/>
  <c r="HV775" i="93"/>
  <c r="ID775" i="93"/>
  <c r="IY775" i="93"/>
  <c r="JJ775" i="93"/>
  <c r="Y773" i="93"/>
  <c r="AG773" i="93"/>
  <c r="AO773" i="93"/>
  <c r="AW773" i="93"/>
  <c r="BE773" i="93"/>
  <c r="BM773" i="93"/>
  <c r="BU773" i="93"/>
  <c r="CC773" i="93"/>
  <c r="CK773" i="93"/>
  <c r="CS773" i="93"/>
  <c r="DA773" i="93"/>
  <c r="DI773" i="93"/>
  <c r="DQ773" i="93"/>
  <c r="DY773" i="93"/>
  <c r="EG773" i="93"/>
  <c r="EO773" i="93"/>
  <c r="EW773" i="93"/>
  <c r="FE773" i="93"/>
  <c r="FM773" i="93"/>
  <c r="FU773" i="93"/>
  <c r="GC773" i="93"/>
  <c r="GK773" i="93"/>
  <c r="GS773" i="93"/>
  <c r="HA773" i="93"/>
  <c r="HI773" i="93"/>
  <c r="HQ773" i="93"/>
  <c r="HY773" i="93"/>
  <c r="IG773" i="93"/>
  <c r="IO773" i="93"/>
  <c r="IW773" i="93"/>
  <c r="AO775" i="93"/>
  <c r="BW775" i="93"/>
  <c r="CO775" i="93"/>
  <c r="DB775" i="93"/>
  <c r="DV775" i="93"/>
  <c r="EQ775" i="93"/>
  <c r="FC775" i="93"/>
  <c r="FK775" i="93"/>
  <c r="FS775" i="93"/>
  <c r="GA775" i="93"/>
  <c r="GI775" i="93"/>
  <c r="GQ775" i="93"/>
  <c r="GY775" i="93"/>
  <c r="HG775" i="93"/>
  <c r="HO775" i="93"/>
  <c r="HW775" i="93"/>
  <c r="IH775" i="93"/>
  <c r="JC775" i="93"/>
  <c r="JK775" i="93"/>
  <c r="Y775" i="93"/>
  <c r="AY775" i="93"/>
  <c r="BY775" i="93"/>
  <c r="CT775" i="93"/>
  <c r="DF775" i="93"/>
  <c r="EA775" i="93"/>
  <c r="EW775" i="93"/>
  <c r="FE775" i="93"/>
  <c r="FM775" i="93"/>
  <c r="FU775" i="93"/>
  <c r="GC775" i="93"/>
  <c r="GK775" i="93"/>
  <c r="GS775" i="93"/>
  <c r="HA775" i="93"/>
  <c r="HI775" i="93"/>
  <c r="HQ775" i="93"/>
  <c r="HY775" i="93"/>
  <c r="IM775" i="93"/>
  <c r="JE775" i="93"/>
  <c r="JM775" i="93"/>
  <c r="CY774" i="93"/>
  <c r="JD775" i="93"/>
  <c r="AC775" i="93"/>
  <c r="BI775" i="93"/>
  <c r="CC775" i="93"/>
  <c r="CW775" i="93"/>
  <c r="DG775" i="93"/>
  <c r="EC775" i="93"/>
  <c r="EX775" i="93"/>
  <c r="FF775" i="93"/>
  <c r="FN775" i="93"/>
  <c r="FV775" i="93"/>
  <c r="GD775" i="93"/>
  <c r="GL775" i="93"/>
  <c r="GT775" i="93"/>
  <c r="HB775" i="93"/>
  <c r="HJ775" i="93"/>
  <c r="HR775" i="93"/>
  <c r="HZ775" i="93"/>
  <c r="IO775" i="93"/>
  <c r="JF775" i="93"/>
  <c r="JQ772" i="93"/>
  <c r="JI772" i="93"/>
  <c r="IJ772" i="93"/>
  <c r="HV772" i="93"/>
  <c r="HN772" i="93"/>
  <c r="HF772" i="93"/>
  <c r="GX772" i="93"/>
  <c r="GP772" i="93"/>
  <c r="GH772" i="93"/>
  <c r="FZ772" i="93"/>
  <c r="FR772" i="93"/>
  <c r="FJ772" i="93"/>
  <c r="FB772" i="93"/>
  <c r="DL772" i="93"/>
  <c r="CV772" i="93"/>
  <c r="BU772" i="93"/>
  <c r="JP772" i="93"/>
  <c r="JH772" i="93"/>
  <c r="IC772" i="93"/>
  <c r="HU772" i="93"/>
  <c r="HM772" i="93"/>
  <c r="HE772" i="93"/>
  <c r="GW772" i="93"/>
  <c r="GO772" i="93"/>
  <c r="GG772" i="93"/>
  <c r="FY772" i="93"/>
  <c r="FQ772" i="93"/>
  <c r="FI772" i="93"/>
  <c r="FA772" i="93"/>
  <c r="DC772" i="93"/>
  <c r="CU772" i="93"/>
  <c r="BP772" i="93"/>
  <c r="JO772" i="93"/>
  <c r="JG772" i="93"/>
  <c r="IB772" i="93"/>
  <c r="HT772" i="93"/>
  <c r="HL772" i="93"/>
  <c r="HD772" i="93"/>
  <c r="GV772" i="93"/>
  <c r="GN772" i="93"/>
  <c r="GF772" i="93"/>
  <c r="FX772" i="93"/>
  <c r="FP772" i="93"/>
  <c r="FH772" i="93"/>
  <c r="EZ772" i="93"/>
  <c r="DB772" i="93"/>
  <c r="CT772" i="93"/>
  <c r="AZ772" i="93"/>
  <c r="JN772" i="93"/>
  <c r="JF772" i="93"/>
  <c r="IA772" i="93"/>
  <c r="HS772" i="93"/>
  <c r="HK772" i="93"/>
  <c r="HC772" i="93"/>
  <c r="GU772" i="93"/>
  <c r="GM772" i="93"/>
  <c r="GE772" i="93"/>
  <c r="FW772" i="93"/>
  <c r="FO772" i="93"/>
  <c r="FG772" i="93"/>
  <c r="EY772" i="93"/>
  <c r="DA772" i="93"/>
  <c r="CF772" i="93"/>
  <c r="AJ772" i="93"/>
  <c r="JM772" i="93"/>
  <c r="JE772" i="93"/>
  <c r="HZ772" i="93"/>
  <c r="HR772" i="93"/>
  <c r="HJ772" i="93"/>
  <c r="HB772" i="93"/>
  <c r="GT772" i="93"/>
  <c r="GL772" i="93"/>
  <c r="GD772" i="93"/>
  <c r="FV772" i="93"/>
  <c r="FN772" i="93"/>
  <c r="FF772" i="93"/>
  <c r="EX772" i="93"/>
  <c r="CZ772" i="93"/>
  <c r="BY772" i="93"/>
  <c r="JL772" i="93"/>
  <c r="JD772" i="93"/>
  <c r="HY772" i="93"/>
  <c r="HQ772" i="93"/>
  <c r="HI772" i="93"/>
  <c r="BX772" i="93"/>
  <c r="FD772" i="93"/>
  <c r="GA772" i="93"/>
  <c r="GS772" i="93"/>
  <c r="HW772" i="93"/>
  <c r="CW772" i="93"/>
  <c r="FE772" i="93"/>
  <c r="GB772" i="93"/>
  <c r="GY772" i="93"/>
  <c r="HX772" i="93"/>
  <c r="CX772" i="93"/>
  <c r="FK772" i="93"/>
  <c r="GC772" i="93"/>
  <c r="GZ772" i="93"/>
  <c r="IZ772" i="93"/>
  <c r="CY772" i="93"/>
  <c r="FL772" i="93"/>
  <c r="GI772" i="93"/>
  <c r="HA772" i="93"/>
  <c r="JC772" i="93"/>
  <c r="EB772" i="93"/>
  <c r="FM772" i="93"/>
  <c r="GJ772" i="93"/>
  <c r="HG772" i="93"/>
  <c r="JJ772" i="93"/>
  <c r="ER772" i="93"/>
  <c r="FS772" i="93"/>
  <c r="GK772" i="93"/>
  <c r="HH772" i="93"/>
  <c r="JK772" i="93"/>
  <c r="Y771" i="93"/>
  <c r="JD771" i="93"/>
  <c r="JL771" i="93"/>
  <c r="JE771" i="93"/>
  <c r="JM771" i="93"/>
  <c r="CX771" i="93"/>
  <c r="JF771" i="93"/>
  <c r="JN771" i="93"/>
  <c r="JG771" i="93"/>
  <c r="FZ770" i="93"/>
  <c r="JM770" i="93"/>
  <c r="EY770" i="93"/>
  <c r="HF770" i="93"/>
  <c r="HV770" i="93"/>
  <c r="FO770" i="93"/>
  <c r="DQ770" i="93"/>
  <c r="DV767" i="93"/>
  <c r="ID767" i="93"/>
  <c r="ED767" i="93"/>
  <c r="EL767" i="93"/>
  <c r="IL767" i="93"/>
  <c r="ET767" i="93"/>
  <c r="IT767" i="93"/>
  <c r="JB767" i="93"/>
  <c r="CE767" i="93"/>
  <c r="CM767" i="93"/>
  <c r="DF767" i="93"/>
  <c r="BI767" i="93"/>
  <c r="DN767" i="93"/>
  <c r="HY768" i="93"/>
  <c r="BY768" i="93"/>
  <c r="CZ768" i="93"/>
  <c r="EX768" i="93"/>
  <c r="FF768" i="93"/>
  <c r="FN768" i="93"/>
  <c r="FV768" i="93"/>
  <c r="GD768" i="93"/>
  <c r="GL768" i="93"/>
  <c r="GT768" i="93"/>
  <c r="HB768" i="93"/>
  <c r="HJ768" i="93"/>
  <c r="HR768" i="93"/>
  <c r="HZ768" i="93"/>
  <c r="JE768" i="93"/>
  <c r="JM768" i="93"/>
  <c r="BX768" i="93"/>
  <c r="FM768" i="93"/>
  <c r="JD768" i="93"/>
  <c r="CM768" i="93"/>
  <c r="DA768" i="93"/>
  <c r="EY768" i="93"/>
  <c r="FG768" i="93"/>
  <c r="FO768" i="93"/>
  <c r="FW768" i="93"/>
  <c r="GE768" i="93"/>
  <c r="GM768" i="93"/>
  <c r="GU768" i="93"/>
  <c r="HC768" i="93"/>
  <c r="HK768" i="93"/>
  <c r="HS768" i="93"/>
  <c r="IA768" i="93"/>
  <c r="JF768" i="93"/>
  <c r="AB768" i="93"/>
  <c r="AJ768" i="93"/>
  <c r="AR768" i="93"/>
  <c r="AZ768" i="93"/>
  <c r="AL768" i="93"/>
  <c r="BB768" i="93"/>
  <c r="W768" i="93"/>
  <c r="AU768" i="93"/>
  <c r="X768" i="93"/>
  <c r="Y768" i="93"/>
  <c r="AO768" i="93"/>
  <c r="AW768" i="93"/>
  <c r="AC768" i="93"/>
  <c r="AK768" i="93"/>
  <c r="AS768" i="93"/>
  <c r="BA768" i="93"/>
  <c r="AD768" i="93"/>
  <c r="AT768" i="93"/>
  <c r="AE768" i="93"/>
  <c r="AM768" i="93"/>
  <c r="AF768" i="93"/>
  <c r="AV768" i="93"/>
  <c r="Z768" i="93"/>
  <c r="AH768" i="93"/>
  <c r="AP768" i="93"/>
  <c r="AX768" i="93"/>
  <c r="AA768" i="93"/>
  <c r="AI768" i="93"/>
  <c r="AQ768" i="93"/>
  <c r="AY768" i="93"/>
  <c r="AN768" i="93"/>
  <c r="AG768" i="93"/>
  <c r="BV768" i="93"/>
  <c r="CW768" i="93"/>
  <c r="DW768" i="93"/>
  <c r="FC768" i="93"/>
  <c r="FK768" i="93"/>
  <c r="FS768" i="93"/>
  <c r="GA768" i="93"/>
  <c r="GI768" i="93"/>
  <c r="GQ768" i="93"/>
  <c r="GY768" i="93"/>
  <c r="HG768" i="93"/>
  <c r="HO768" i="93"/>
  <c r="HW768" i="93"/>
  <c r="IU768" i="93"/>
  <c r="JJ768" i="93"/>
  <c r="BW768" i="93"/>
  <c r="CX768" i="93"/>
  <c r="EM768" i="93"/>
  <c r="FD768" i="93"/>
  <c r="FL768" i="93"/>
  <c r="FT768" i="93"/>
  <c r="GB768" i="93"/>
  <c r="GJ768" i="93"/>
  <c r="GR768" i="93"/>
  <c r="GZ768" i="93"/>
  <c r="HH768" i="93"/>
  <c r="HP768" i="93"/>
  <c r="HX768" i="93"/>
  <c r="JC768" i="93"/>
  <c r="JK768" i="93"/>
  <c r="CY768" i="93"/>
  <c r="EW768" i="93"/>
  <c r="FE768" i="93"/>
  <c r="FU768" i="93"/>
  <c r="GC768" i="93"/>
  <c r="GK768" i="93"/>
  <c r="GS768" i="93"/>
  <c r="HA768" i="93"/>
  <c r="HI768" i="93"/>
  <c r="HQ768" i="93"/>
  <c r="JL768" i="93"/>
  <c r="CT768" i="93"/>
  <c r="DB768" i="93"/>
  <c r="EZ768" i="93"/>
  <c r="FH768" i="93"/>
  <c r="FP768" i="93"/>
  <c r="FX768" i="93"/>
  <c r="GF768" i="93"/>
  <c r="GN768" i="93"/>
  <c r="GV768" i="93"/>
  <c r="HD768" i="93"/>
  <c r="HL768" i="93"/>
  <c r="HT768" i="93"/>
  <c r="IB768" i="93"/>
  <c r="JG768" i="93"/>
  <c r="JO768" i="93"/>
  <c r="EU767" i="93"/>
  <c r="BM767" i="93"/>
  <c r="CG767" i="93"/>
  <c r="CO767" i="93"/>
  <c r="DH767" i="93"/>
  <c r="DP767" i="93"/>
  <c r="DX767" i="93"/>
  <c r="EF767" i="93"/>
  <c r="EN767" i="93"/>
  <c r="EV767" i="93"/>
  <c r="IF767" i="93"/>
  <c r="IN767" i="93"/>
  <c r="IV767" i="93"/>
  <c r="BL767" i="93"/>
  <c r="DG767" i="93"/>
  <c r="EE767" i="93"/>
  <c r="IE767" i="93"/>
  <c r="BP767" i="93"/>
  <c r="BZ767" i="93"/>
  <c r="CH767" i="93"/>
  <c r="CP767" i="93"/>
  <c r="DI767" i="93"/>
  <c r="DQ767" i="93"/>
  <c r="DY767" i="93"/>
  <c r="EG767" i="93"/>
  <c r="EO767" i="93"/>
  <c r="IG767" i="93"/>
  <c r="IO767" i="93"/>
  <c r="IW767" i="93"/>
  <c r="DO767" i="93"/>
  <c r="BQ767" i="93"/>
  <c r="CA767" i="93"/>
  <c r="CI767" i="93"/>
  <c r="CQ767" i="93"/>
  <c r="DJ767" i="93"/>
  <c r="DR767" i="93"/>
  <c r="DZ767" i="93"/>
  <c r="EH767" i="93"/>
  <c r="EP767" i="93"/>
  <c r="IH767" i="93"/>
  <c r="IP767" i="93"/>
  <c r="IX767" i="93"/>
  <c r="CF767" i="93"/>
  <c r="IM767" i="93"/>
  <c r="BD767" i="93"/>
  <c r="BT767" i="93"/>
  <c r="CB767" i="93"/>
  <c r="CJ767" i="93"/>
  <c r="CR767" i="93"/>
  <c r="DK767" i="93"/>
  <c r="DS767" i="93"/>
  <c r="EA767" i="93"/>
  <c r="EI767" i="93"/>
  <c r="EQ767" i="93"/>
  <c r="II767" i="93"/>
  <c r="IQ767" i="93"/>
  <c r="IY767" i="93"/>
  <c r="CN767" i="93"/>
  <c r="DW767" i="93"/>
  <c r="EM767" i="93"/>
  <c r="IU767" i="93"/>
  <c r="BE767" i="93"/>
  <c r="CC767" i="93"/>
  <c r="CK767" i="93"/>
  <c r="CS767" i="93"/>
  <c r="DD767" i="93"/>
  <c r="DL767" i="93"/>
  <c r="DT767" i="93"/>
  <c r="EB767" i="93"/>
  <c r="EJ767" i="93"/>
  <c r="ER767" i="93"/>
  <c r="IJ767" i="93"/>
  <c r="IR767" i="93"/>
  <c r="IZ767" i="93"/>
  <c r="A767" i="93"/>
  <c r="BH767" i="93"/>
  <c r="CD767" i="93"/>
  <c r="CL767" i="93"/>
  <c r="DE767" i="93"/>
  <c r="DM767" i="93"/>
  <c r="DU767" i="93"/>
  <c r="EC767" i="93"/>
  <c r="EK767" i="93"/>
  <c r="ES767" i="93"/>
  <c r="IK767" i="93"/>
  <c r="IS767" i="93"/>
  <c r="CU767" i="93"/>
  <c r="Z767" i="93"/>
  <c r="AH767" i="93"/>
  <c r="AP767" i="93"/>
  <c r="AX767" i="93"/>
  <c r="AN767" i="93"/>
  <c r="AA767" i="93"/>
  <c r="AI767" i="93"/>
  <c r="AQ767" i="93"/>
  <c r="AY767" i="93"/>
  <c r="AT767" i="93"/>
  <c r="AV767" i="93"/>
  <c r="AB767" i="93"/>
  <c r="AJ767" i="93"/>
  <c r="AR767" i="93"/>
  <c r="AZ767" i="93"/>
  <c r="BB767" i="93"/>
  <c r="AF767" i="93"/>
  <c r="AC767" i="93"/>
  <c r="AK767" i="93"/>
  <c r="AS767" i="93"/>
  <c r="BA767" i="93"/>
  <c r="AL767" i="93"/>
  <c r="X767" i="93"/>
  <c r="AD767" i="93"/>
  <c r="W767" i="93"/>
  <c r="AE767" i="93"/>
  <c r="AM767" i="93"/>
  <c r="AU767" i="93"/>
  <c r="Y767" i="93"/>
  <c r="AG767" i="93"/>
  <c r="AO767" i="93"/>
  <c r="AW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J862"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J867"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53" i="93" s="1"/>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M459" i="93" s="1"/>
  <c r="F450" i="93"/>
  <c r="E450" i="93"/>
  <c r="D450" i="93"/>
  <c r="C450" i="93"/>
  <c r="H455" i="93"/>
  <c r="G455" i="93"/>
  <c r="H444" i="93"/>
  <c r="G444" i="93"/>
  <c r="E517"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D474" i="93" l="1"/>
  <c r="J746" i="93"/>
  <c r="L864" i="93"/>
  <c r="V568" i="93"/>
  <c r="M453" i="93"/>
  <c r="P453" i="93"/>
  <c r="S459" i="93"/>
  <c r="M469" i="93"/>
  <c r="P469" i="93"/>
  <c r="S469" i="93"/>
  <c r="M513" i="93"/>
  <c r="P519" i="93"/>
  <c r="U546" i="93"/>
  <c r="P554" i="93"/>
  <c r="U561" i="93"/>
  <c r="M566" i="93"/>
  <c r="I730" i="93"/>
  <c r="M730" i="93"/>
  <c r="L746" i="93"/>
  <c r="U452" i="93"/>
  <c r="A565" i="93"/>
  <c r="S500" i="93"/>
  <c r="M500" i="93"/>
  <c r="J582" i="93"/>
  <c r="J586" i="93" s="1"/>
  <c r="I746" i="93"/>
  <c r="M746" i="93"/>
  <c r="K746" i="93"/>
  <c r="J463" i="93"/>
  <c r="S463" i="93"/>
  <c r="M474" i="93"/>
  <c r="P513" i="93"/>
  <c r="S519" i="93"/>
  <c r="P562" i="93"/>
  <c r="P582" i="93"/>
  <c r="P586" i="93" s="1"/>
  <c r="N868" i="93"/>
  <c r="P500" i="93"/>
  <c r="G554" i="93"/>
  <c r="A452" i="93"/>
  <c r="U451" i="93"/>
  <c r="P474" i="93"/>
  <c r="S474" i="93"/>
  <c r="U526" i="93"/>
  <c r="A546" i="93"/>
  <c r="A561" i="93"/>
  <c r="S513" i="93"/>
  <c r="M519" i="93"/>
  <c r="M562" i="93"/>
  <c r="J566" i="93"/>
  <c r="P566" i="93"/>
  <c r="S566" i="93"/>
  <c r="M863" i="93"/>
  <c r="C978" i="93"/>
  <c r="J500" i="93"/>
  <c r="L393" i="93"/>
  <c r="U512" i="93"/>
  <c r="U450" i="93"/>
  <c r="G453" i="93"/>
  <c r="L730" i="93"/>
  <c r="K730" i="93"/>
  <c r="J730" i="93"/>
  <c r="N863" i="93"/>
  <c r="N861" i="93"/>
  <c r="K863" i="93"/>
  <c r="M864" i="93"/>
  <c r="N864" i="93"/>
  <c r="J864" i="93"/>
  <c r="L867" i="93"/>
  <c r="K862" i="93"/>
  <c r="J861" i="93"/>
  <c r="M868" i="93"/>
  <c r="J868" i="93"/>
  <c r="O846" i="93"/>
  <c r="O844" i="93"/>
  <c r="O858" i="93"/>
  <c r="L868" i="93"/>
  <c r="N862" i="93"/>
  <c r="O943" i="93"/>
  <c r="M815" i="93"/>
  <c r="M817" i="93" s="1"/>
  <c r="M819" i="93" s="1"/>
  <c r="J872" i="93"/>
  <c r="J874" i="93" s="1"/>
  <c r="K823" i="93"/>
  <c r="M872" i="93"/>
  <c r="M874" i="93" s="1"/>
  <c r="M876" i="93" s="1"/>
  <c r="J815" i="93"/>
  <c r="J817" i="93" s="1"/>
  <c r="J819" i="93" s="1"/>
  <c r="N827" i="93"/>
  <c r="J827" i="93"/>
  <c r="O814" i="93"/>
  <c r="O855" i="93"/>
  <c r="O847" i="93"/>
  <c r="O816" i="93"/>
  <c r="J834" i="93"/>
  <c r="M867" i="93"/>
  <c r="O813" i="93"/>
  <c r="K861" i="93"/>
  <c r="O941" i="93"/>
  <c r="K864" i="93"/>
  <c r="N867" i="93"/>
  <c r="O942" i="93"/>
  <c r="O833" i="93"/>
  <c r="N815" i="93"/>
  <c r="N817" i="93" s="1"/>
  <c r="N819" i="93" s="1"/>
  <c r="O850" i="93"/>
  <c r="M843" i="93"/>
  <c r="U565" i="93"/>
  <c r="G566" i="93"/>
  <c r="S562" i="93"/>
  <c r="S547" i="93"/>
  <c r="G547" i="93"/>
  <c r="S541" i="93"/>
  <c r="G541" i="93"/>
  <c r="S527" i="93"/>
  <c r="J519" i="93"/>
  <c r="J513" i="93"/>
  <c r="G513" i="93"/>
  <c r="G500" i="93"/>
  <c r="G463" i="93"/>
  <c r="J474" i="93"/>
  <c r="G474" i="93"/>
  <c r="J469" i="93"/>
  <c r="A450" i="93"/>
  <c r="J45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92" i="93"/>
  <c r="D978" i="93"/>
  <c r="E976" i="93"/>
  <c r="E992" i="93" s="1"/>
  <c r="S568" i="93"/>
  <c r="O864" i="93"/>
  <c r="O862" i="93"/>
  <c r="O867" i="93"/>
  <c r="O868" i="93"/>
  <c r="O863" i="93"/>
  <c r="O823" i="93"/>
  <c r="O841" i="93"/>
  <c r="P944" i="93" s="1"/>
  <c r="P945" i="93" s="1"/>
  <c r="O843" i="93"/>
  <c r="E473" i="93"/>
  <c r="B480" i="93"/>
  <c r="J568" i="93"/>
  <c r="J585" i="93" s="1"/>
  <c r="J587" i="93" s="1"/>
  <c r="J589" i="93" s="1"/>
  <c r="E472" i="93"/>
  <c r="E471" i="93"/>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3" i="93" l="1"/>
  <c r="F471" i="93"/>
  <c r="F470" i="93" s="1"/>
  <c r="F472" i="93"/>
  <c r="F552" i="93"/>
  <c r="F549" i="93"/>
  <c r="F553" i="93"/>
  <c r="F551" i="93"/>
  <c r="E978" i="93"/>
  <c r="E474" i="93"/>
  <c r="G470" i="93" s="1"/>
  <c r="H83" i="93"/>
  <c r="O945" i="93"/>
  <c r="J939" i="93"/>
  <c r="J938" i="93"/>
  <c r="O944" i="93"/>
  <c r="F48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6" i="93"/>
  <c r="H992" i="93" s="1"/>
  <c r="I972" i="93"/>
  <c r="I976" i="93" s="1"/>
  <c r="I992" i="93" s="1"/>
  <c r="J977" i="93"/>
  <c r="J975" i="93"/>
  <c r="J970" i="93"/>
  <c r="J971" i="93"/>
  <c r="K969" i="93"/>
  <c r="K7" i="88"/>
  <c r="I978" i="93" l="1"/>
  <c r="H978" i="93"/>
  <c r="B999" i="93"/>
  <c r="K970" i="93"/>
  <c r="K977" i="93"/>
  <c r="K975" i="93"/>
  <c r="K971" i="93"/>
  <c r="J972" i="93"/>
  <c r="A2" i="88"/>
  <c r="J976" i="93" l="1"/>
  <c r="J992" i="93" s="1"/>
  <c r="K972" i="93"/>
  <c r="K976" i="93" s="1"/>
  <c r="K992" i="93" s="1"/>
  <c r="B1007" i="93"/>
  <c r="B1005" i="93"/>
  <c r="B1001" i="93"/>
  <c r="C999" i="93"/>
  <c r="B1000" i="93"/>
  <c r="B1" i="87"/>
  <c r="D54" i="86"/>
  <c r="E54" i="86"/>
  <c r="F54" i="86"/>
  <c r="G54" i="86"/>
  <c r="H54" i="86"/>
  <c r="C54" i="86"/>
  <c r="G34" i="86"/>
  <c r="H34" i="86"/>
  <c r="I34" i="86"/>
  <c r="F34" i="86"/>
  <c r="D34" i="86"/>
  <c r="E34" i="86"/>
  <c r="C34" i="86"/>
  <c r="D14" i="86"/>
  <c r="E14" i="86"/>
  <c r="F14" i="86"/>
  <c r="G14" i="86"/>
  <c r="H14" i="86"/>
  <c r="I14" i="86"/>
  <c r="C14" i="86"/>
  <c r="K978" i="93" l="1"/>
  <c r="J978" i="93"/>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1" i="90"/>
  <c r="E170" i="90"/>
  <c r="E999" i="93"/>
  <c r="D1000" i="93"/>
  <c r="D1007" i="93"/>
  <c r="D1005" i="93"/>
  <c r="D1001" i="93"/>
  <c r="C1002" i="93"/>
  <c r="C1006" i="93" s="1"/>
  <c r="C1022" i="93" s="1"/>
  <c r="C1008" i="93" l="1"/>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5" i="83"/>
  <c r="K36" i="88"/>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D1036" i="93" s="1"/>
  <c r="E1030" i="93"/>
  <c r="E1037" i="93"/>
  <c r="E1035" i="93"/>
  <c r="E1031" i="93"/>
  <c r="F1029" i="93"/>
  <c r="E48" i="82"/>
  <c r="F48" i="82" s="1"/>
  <c r="D1051" i="93" l="1"/>
  <c r="D1038" i="93"/>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K1038" i="93" l="1"/>
  <c r="B1066" i="93"/>
  <c r="D1065" i="93"/>
  <c r="D1058" i="93"/>
  <c r="E1057" i="93"/>
  <c r="D1063" i="93"/>
  <c r="D1059" i="93"/>
  <c r="C1060" i="93"/>
  <c r="E68" i="82"/>
  <c r="C1064" i="93" l="1"/>
  <c r="C1079" i="93" s="1"/>
  <c r="E1063" i="93"/>
  <c r="E1059" i="93"/>
  <c r="E1065" i="93"/>
  <c r="E1058" i="93"/>
  <c r="F1057" i="93"/>
  <c r="D1060" i="93"/>
  <c r="F68" i="82"/>
  <c r="D1064" i="93" l="1"/>
  <c r="D1079" i="93" s="1"/>
  <c r="C1066" i="93"/>
  <c r="E1060" i="93"/>
  <c r="E1064" i="93" s="1"/>
  <c r="E1079" i="93" s="1"/>
  <c r="F1058" i="93"/>
  <c r="F1063" i="93"/>
  <c r="F1059" i="93"/>
  <c r="F1065" i="93"/>
  <c r="G68" i="82"/>
  <c r="E1066" i="93" l="1"/>
  <c r="D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I83" i="74" s="1"/>
  <c r="S34" i="68"/>
  <c r="L30" i="68"/>
  <c r="S16" i="68"/>
  <c r="S3" i="68"/>
  <c r="L151" i="67"/>
  <c r="P171" i="66"/>
  <c r="H72" i="66"/>
  <c r="H13" i="84" s="1"/>
  <c r="L38" i="66"/>
  <c r="D114" i="74" l="1"/>
  <c r="D1070" i="93" s="1"/>
  <c r="D1077" i="93" s="1"/>
  <c r="N403" i="93"/>
  <c r="E55" i="84"/>
  <c r="I55" i="84"/>
  <c r="G55" i="84"/>
  <c r="K55" i="84"/>
  <c r="D994" i="93"/>
  <c r="F11" i="86"/>
  <c r="H994" i="93"/>
  <c r="C31" i="86"/>
  <c r="B995" i="93"/>
  <c r="C12" i="86"/>
  <c r="D12" i="86"/>
  <c r="F995" i="93"/>
  <c r="H12" i="86"/>
  <c r="J995" i="93"/>
  <c r="E32" i="86"/>
  <c r="B1024" i="93"/>
  <c r="G31" i="86"/>
  <c r="F1024" i="93"/>
  <c r="D51" i="86"/>
  <c r="J1024" i="93"/>
  <c r="H51" i="86"/>
  <c r="D1025" i="93"/>
  <c r="I32" i="86"/>
  <c r="H1025" i="93"/>
  <c r="F52" i="86"/>
  <c r="F112" i="74"/>
  <c r="F1068" i="93" s="1"/>
  <c r="F1075" i="93" s="1"/>
  <c r="N401" i="93"/>
  <c r="E994" i="93"/>
  <c r="G11" i="86"/>
  <c r="I994" i="93"/>
  <c r="D31" i="86"/>
  <c r="C995" i="93"/>
  <c r="E12" i="86"/>
  <c r="G995" i="93"/>
  <c r="I12" i="86"/>
  <c r="K995" i="93"/>
  <c r="F32" i="86"/>
  <c r="C1024" i="93"/>
  <c r="H31" i="86"/>
  <c r="G1024" i="93"/>
  <c r="E51" i="86"/>
  <c r="E1025" i="93"/>
  <c r="C52" i="86"/>
  <c r="I1025" i="93"/>
  <c r="G52" i="86"/>
  <c r="C994" i="93"/>
  <c r="E11" i="86"/>
  <c r="G994" i="93"/>
  <c r="I11" i="86"/>
  <c r="K994" i="93"/>
  <c r="F31" i="86"/>
  <c r="E995" i="93"/>
  <c r="G12" i="86"/>
  <c r="I995" i="93"/>
  <c r="D32" i="86"/>
  <c r="J56" i="74"/>
  <c r="J1012" i="93" s="1"/>
  <c r="J1020" i="93" s="1"/>
  <c r="E1024" i="93"/>
  <c r="C51" i="86"/>
  <c r="I1024" i="93"/>
  <c r="G51" i="86"/>
  <c r="C1025" i="93"/>
  <c r="H32" i="86"/>
  <c r="G1025" i="93"/>
  <c r="E52" i="86"/>
  <c r="K25" i="74"/>
  <c r="K981" i="93" s="1"/>
  <c r="K989" i="93" s="1"/>
  <c r="N402" i="93"/>
  <c r="I26" i="74"/>
  <c r="I982" i="93" s="1"/>
  <c r="I990" i="93" s="1"/>
  <c r="B994" i="93"/>
  <c r="D11" i="86"/>
  <c r="C11" i="86"/>
  <c r="F994" i="93"/>
  <c r="H11" i="86"/>
  <c r="J994" i="93"/>
  <c r="E31" i="86"/>
  <c r="D995" i="93"/>
  <c r="F12" i="86"/>
  <c r="H995" i="93"/>
  <c r="C32" i="86"/>
  <c r="D1024" i="93"/>
  <c r="I31" i="86"/>
  <c r="H1024" i="93"/>
  <c r="F51" i="86"/>
  <c r="B1025" i="93"/>
  <c r="G32" i="86"/>
  <c r="F1025" i="93"/>
  <c r="D52" i="86"/>
  <c r="J1025" i="93"/>
  <c r="H52" i="86"/>
  <c r="B53" i="82"/>
  <c r="B984" i="93"/>
  <c r="T1729" i="93"/>
  <c r="A2011" i="93"/>
  <c r="T1727" i="93"/>
  <c r="F1910" i="93"/>
  <c r="I712" i="93"/>
  <c r="A623" i="93"/>
  <c r="A364" i="93"/>
  <c r="I1039" i="93"/>
  <c r="C111" i="74"/>
  <c r="N400" i="93"/>
  <c r="C58" i="84"/>
  <c r="K58" i="84" s="1"/>
  <c r="E61" i="84"/>
  <c r="G61" i="84"/>
  <c r="K61" i="84"/>
  <c r="I61" i="84"/>
  <c r="E60" i="84"/>
  <c r="I60" i="84"/>
  <c r="G60" i="84"/>
  <c r="K60" i="84"/>
  <c r="I59" i="84"/>
  <c r="G59" i="84"/>
  <c r="E59" i="84"/>
  <c r="K59" i="84"/>
  <c r="O1974" i="93"/>
  <c r="P66" i="93"/>
  <c r="I15" i="75"/>
  <c r="I12" i="75"/>
  <c r="I11" i="75"/>
  <c r="I14" i="75"/>
  <c r="I10" i="75"/>
  <c r="I13" i="75"/>
  <c r="Q770" i="93"/>
  <c r="Q769" i="93"/>
  <c r="F115" i="78"/>
  <c r="C133" i="90"/>
  <c r="L59" i="85" s="1"/>
  <c r="L31" i="68"/>
  <c r="L394" i="93" s="1"/>
  <c r="L395" i="93" s="1"/>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N55" i="66"/>
  <c r="F116" i="78"/>
  <c r="F113" i="78"/>
  <c r="F117" i="78"/>
  <c r="O272" i="72"/>
  <c r="O1826" i="93" s="1"/>
  <c r="Q55" i="73"/>
  <c r="P42" i="73"/>
  <c r="P1136" i="93" s="1"/>
  <c r="O40" i="66"/>
  <c r="J64" i="74"/>
  <c r="D121" i="74"/>
  <c r="G62"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64" i="74" l="1"/>
  <c r="F1012" i="93"/>
  <c r="F1020" i="93" s="1"/>
  <c r="J32" i="74"/>
  <c r="J980" i="93"/>
  <c r="J988" i="93" s="1"/>
  <c r="J91" i="74"/>
  <c r="J1040" i="93"/>
  <c r="J1047" i="93" s="1"/>
  <c r="K33" i="74"/>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K91" i="74"/>
  <c r="K1040" i="93"/>
  <c r="K1047" i="93" s="1"/>
  <c r="C119" i="74"/>
  <c r="C1068" i="93"/>
  <c r="C1075" i="93" s="1"/>
  <c r="J93" i="74"/>
  <c r="J1042" i="93"/>
  <c r="J1049" i="93" s="1"/>
  <c r="D63" i="74"/>
  <c r="D1011" i="93"/>
  <c r="D1019" i="93" s="1"/>
  <c r="E32" i="74"/>
  <c r="E980" i="93"/>
  <c r="E988" i="93" s="1"/>
  <c r="E34" i="74"/>
  <c r="E982" i="93"/>
  <c r="E990" i="93" s="1"/>
  <c r="C91" i="74"/>
  <c r="C1040" i="93"/>
  <c r="C1047" i="93" s="1"/>
  <c r="G91" i="74"/>
  <c r="G1040" i="93"/>
  <c r="G1047" i="93" s="1"/>
  <c r="F62" i="74"/>
  <c r="F1010" i="93"/>
  <c r="F1018" i="93" s="1"/>
  <c r="F119" i="74"/>
  <c r="F91" i="74"/>
  <c r="F1040" i="93"/>
  <c r="F1047" i="93" s="1"/>
  <c r="B62" i="74"/>
  <c r="B1010" i="93"/>
  <c r="B1018" i="93" s="1"/>
  <c r="B64" i="74"/>
  <c r="B1012" i="93"/>
  <c r="B1020" i="93" s="1"/>
  <c r="D119" i="74"/>
  <c r="D1068" i="93"/>
  <c r="D1075" i="93" s="1"/>
  <c r="G33" i="74"/>
  <c r="G981" i="93"/>
  <c r="G989" i="93" s="1"/>
  <c r="C62" i="74"/>
  <c r="C1010" i="93"/>
  <c r="C1018" i="93" s="1"/>
  <c r="C53" i="82"/>
  <c r="C984" i="93"/>
  <c r="O51" i="93"/>
  <c r="T1728" i="93"/>
  <c r="O763" i="93"/>
  <c r="M763" i="93"/>
  <c r="P67" i="72"/>
  <c r="P1621" i="93" s="1"/>
  <c r="O67" i="72"/>
  <c r="G1146" i="93" s="1"/>
  <c r="G58" i="84"/>
  <c r="G62" i="84" s="1"/>
  <c r="C62" i="84"/>
  <c r="I58" i="84"/>
  <c r="I62" i="84" s="1"/>
  <c r="K1009" i="93"/>
  <c r="E27" i="87"/>
  <c r="K1039" i="93"/>
  <c r="B979" i="93"/>
  <c r="E8" i="87"/>
  <c r="C75" i="84"/>
  <c r="B37" i="74"/>
  <c r="C37" i="74" s="1"/>
  <c r="D37" i="74" s="1"/>
  <c r="I979" i="93"/>
  <c r="E15" i="87"/>
  <c r="H1039" i="93"/>
  <c r="F1039" i="93"/>
  <c r="E32" i="87"/>
  <c r="G979" i="93"/>
  <c r="E13" i="87"/>
  <c r="C1039" i="93"/>
  <c r="E29" i="87"/>
  <c r="F1067" i="93"/>
  <c r="B1039" i="93"/>
  <c r="E28" i="87"/>
  <c r="B1067" i="93"/>
  <c r="D1067" i="93"/>
  <c r="H979" i="93"/>
  <c r="E14" i="87"/>
  <c r="D1039" i="93"/>
  <c r="E30" i="87"/>
  <c r="J1009" i="93"/>
  <c r="E26" i="87"/>
  <c r="G1009" i="93"/>
  <c r="E23" i="87"/>
  <c r="F1009" i="93"/>
  <c r="E22" i="87"/>
  <c r="B1009" i="93"/>
  <c r="E18" i="87"/>
  <c r="D1009" i="93"/>
  <c r="E20" i="87"/>
  <c r="E1009" i="93"/>
  <c r="E21" i="87"/>
  <c r="C1067" i="93"/>
  <c r="E1067" i="93"/>
  <c r="D979" i="93"/>
  <c r="E10" i="87"/>
  <c r="F979" i="93"/>
  <c r="E12" i="87"/>
  <c r="K979" i="93"/>
  <c r="E17" i="87"/>
  <c r="J1039" i="93"/>
  <c r="C979" i="93"/>
  <c r="E9" i="87"/>
  <c r="G1039" i="93"/>
  <c r="C1009" i="93"/>
  <c r="E19" i="87"/>
  <c r="E979" i="93"/>
  <c r="E11" i="87"/>
  <c r="I1009" i="93"/>
  <c r="E25" i="87"/>
  <c r="J979" i="93"/>
  <c r="E16" i="87"/>
  <c r="E1039" i="93"/>
  <c r="E31" i="87"/>
  <c r="H1009" i="93"/>
  <c r="E24" i="87"/>
  <c r="I1050" i="93"/>
  <c r="I1046" i="93"/>
  <c r="E58" i="84"/>
  <c r="E62" i="84" s="1"/>
  <c r="K62" i="84"/>
  <c r="I769" i="93"/>
  <c r="K769" i="93" s="1"/>
  <c r="L769" i="93" s="1"/>
  <c r="K12" i="75"/>
  <c r="L12" i="75" s="1"/>
  <c r="I772" i="93"/>
  <c r="K772" i="93" s="1"/>
  <c r="L772" i="93" s="1"/>
  <c r="K15" i="75"/>
  <c r="L15" i="75" s="1"/>
  <c r="I775" i="93"/>
  <c r="K775" i="93" s="1"/>
  <c r="L775" i="93" s="1"/>
  <c r="K18" i="75"/>
  <c r="L18" i="75" s="1"/>
  <c r="I774" i="93"/>
  <c r="K774" i="93" s="1"/>
  <c r="L774" i="93" s="1"/>
  <c r="K17" i="75"/>
  <c r="L17" i="75" s="1"/>
  <c r="I771" i="93"/>
  <c r="K771" i="93" s="1"/>
  <c r="L771" i="93" s="1"/>
  <c r="K14" i="75"/>
  <c r="L14" i="75" s="1"/>
  <c r="I768" i="93"/>
  <c r="K768" i="93" s="1"/>
  <c r="L768" i="93" s="1"/>
  <c r="K11" i="75"/>
  <c r="L11" i="75" s="1"/>
  <c r="I770" i="93"/>
  <c r="K770" i="93" s="1"/>
  <c r="L770" i="93" s="1"/>
  <c r="K13" i="75"/>
  <c r="L13" i="75" s="1"/>
  <c r="I773" i="93"/>
  <c r="K773" i="93" s="1"/>
  <c r="L773" i="93" s="1"/>
  <c r="K16" i="75"/>
  <c r="L16" i="75" s="1"/>
  <c r="I767" i="93"/>
  <c r="K767" i="93" s="1"/>
  <c r="L767" i="93" s="1"/>
  <c r="K10" i="75"/>
  <c r="L10" i="75" s="1"/>
  <c r="F47" i="78"/>
  <c r="H18" i="84"/>
  <c r="J151" i="78"/>
  <c r="J153" i="78" s="1"/>
  <c r="E3" i="86"/>
  <c r="B4" i="82"/>
  <c r="G1776" i="93"/>
  <c r="J1937" i="93"/>
  <c r="I422" i="93"/>
  <c r="K9" i="88"/>
  <c r="K23" i="88" s="1"/>
  <c r="K28" i="88" s="1"/>
  <c r="C18" i="84"/>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Q58" i="73" l="1"/>
  <c r="G1136" i="93"/>
  <c r="E53" i="82"/>
  <c r="E984" i="93"/>
  <c r="D53" i="82"/>
  <c r="D984" i="93"/>
  <c r="D986" i="93" s="1"/>
  <c r="T1731" i="93"/>
  <c r="P934" i="93"/>
  <c r="R16" i="75"/>
  <c r="R773" i="93" s="1"/>
  <c r="R10" i="75"/>
  <c r="R767" i="93" s="1"/>
  <c r="R11" i="75"/>
  <c r="R768" i="93" s="1"/>
  <c r="R18" i="75"/>
  <c r="R775" i="93" s="1"/>
  <c r="R13" i="75"/>
  <c r="R770" i="93" s="1"/>
  <c r="R15" i="75"/>
  <c r="R772" i="93" s="1"/>
  <c r="R14" i="75"/>
  <c r="R771" i="93" s="1"/>
  <c r="R12" i="75"/>
  <c r="R769" i="93" s="1"/>
  <c r="R17" i="75"/>
  <c r="R774" i="93" s="1"/>
  <c r="G1150" i="93"/>
  <c r="G1143" i="93"/>
  <c r="I1143" i="93" s="1"/>
  <c r="G1151" i="93"/>
  <c r="I1151" i="93" s="1"/>
  <c r="G1156" i="93"/>
  <c r="G1153" i="93"/>
  <c r="I1153" i="93" s="1"/>
  <c r="G1157" i="93"/>
  <c r="I1157" i="93" s="1"/>
  <c r="G1160" i="93"/>
  <c r="I1160" i="93" s="1"/>
  <c r="O1621" i="93"/>
  <c r="G1139" i="93"/>
  <c r="G1137" i="93"/>
  <c r="I1137" i="93" s="1"/>
  <c r="G1159" i="93"/>
  <c r="I1159" i="93" s="1"/>
  <c r="G1152" i="93"/>
  <c r="G1149" i="93"/>
  <c r="G1138" i="93"/>
  <c r="I1138" i="93" s="1"/>
  <c r="G1144" i="93"/>
  <c r="I1144" i="93" s="1"/>
  <c r="G1145" i="93"/>
  <c r="G1142" i="93"/>
  <c r="G1135" i="93"/>
  <c r="I1135" i="93" s="1"/>
  <c r="I1140" i="93" s="1"/>
  <c r="G1158" i="93"/>
  <c r="I1158" i="93" s="1"/>
  <c r="I44" i="68"/>
  <c r="I407" i="93" s="1"/>
  <c r="C41" i="74"/>
  <c r="B997" i="93"/>
  <c r="B1074" i="93"/>
  <c r="B1078" i="93"/>
  <c r="C1050" i="93"/>
  <c r="C1046" i="93"/>
  <c r="C1017" i="93"/>
  <c r="C1021" i="93"/>
  <c r="B1017" i="93"/>
  <c r="B1021" i="93"/>
  <c r="B1046" i="93"/>
  <c r="B1050" i="93"/>
  <c r="G991" i="93"/>
  <c r="G987" i="93"/>
  <c r="K1050" i="93"/>
  <c r="K1046" i="93"/>
  <c r="D1046" i="93"/>
  <c r="D1050" i="93"/>
  <c r="F1050" i="93"/>
  <c r="F1046" i="93"/>
  <c r="J987" i="93"/>
  <c r="J991" i="93"/>
  <c r="G1017" i="93"/>
  <c r="G1021" i="93"/>
  <c r="H1017" i="93"/>
  <c r="H1021" i="93"/>
  <c r="J1046" i="93"/>
  <c r="J1050" i="93"/>
  <c r="C1078" i="93"/>
  <c r="C1074" i="93"/>
  <c r="H987" i="93"/>
  <c r="H991" i="93"/>
  <c r="I1017" i="93"/>
  <c r="I1021" i="93"/>
  <c r="D987" i="93"/>
  <c r="D991" i="93"/>
  <c r="J1017" i="93"/>
  <c r="J1021" i="93"/>
  <c r="D1074" i="93"/>
  <c r="D1078" i="93"/>
  <c r="C77" i="84"/>
  <c r="G75" i="84"/>
  <c r="G77" i="84" s="1"/>
  <c r="E75" i="84"/>
  <c r="E77" i="84" s="1"/>
  <c r="K75" i="84"/>
  <c r="K77" i="84" s="1"/>
  <c r="I75" i="84"/>
  <c r="I77" i="84" s="1"/>
  <c r="C991" i="93"/>
  <c r="C987" i="93"/>
  <c r="C986" i="93"/>
  <c r="D1017" i="93"/>
  <c r="D1021" i="93"/>
  <c r="F987" i="93"/>
  <c r="F991" i="93"/>
  <c r="H1050" i="93"/>
  <c r="H1046" i="93"/>
  <c r="D993" i="93"/>
  <c r="G1046" i="93"/>
  <c r="G1050" i="93"/>
  <c r="K991" i="93"/>
  <c r="K987" i="93"/>
  <c r="E1021" i="93"/>
  <c r="E1017" i="93"/>
  <c r="F1078" i="93"/>
  <c r="F1074" i="93"/>
  <c r="I987" i="93"/>
  <c r="I991" i="93"/>
  <c r="E1074" i="93"/>
  <c r="E1078" i="93"/>
  <c r="E987" i="93"/>
  <c r="E991" i="93"/>
  <c r="E986" i="93"/>
  <c r="E1050" i="93"/>
  <c r="E1046" i="93"/>
  <c r="E37" i="74"/>
  <c r="C993" i="93"/>
  <c r="E10" i="86"/>
  <c r="F1017" i="93"/>
  <c r="F1021" i="93"/>
  <c r="B993" i="93"/>
  <c r="D10" i="86"/>
  <c r="C10" i="86"/>
  <c r="K1021" i="93"/>
  <c r="K1017" i="93"/>
  <c r="L48" i="75"/>
  <c r="L49" i="75" s="1"/>
  <c r="B970" i="93" s="1"/>
  <c r="L805" i="93"/>
  <c r="L806" i="93" s="1"/>
  <c r="I1156" i="93"/>
  <c r="I1161" i="93" s="1"/>
  <c r="M1151" i="93"/>
  <c r="N1151" i="93"/>
  <c r="I1146" i="93"/>
  <c r="N1137" i="93"/>
  <c r="M1137" i="93"/>
  <c r="M1146" i="93"/>
  <c r="N1146" i="93"/>
  <c r="M1149" i="93"/>
  <c r="K1154" i="93"/>
  <c r="N1149" i="93"/>
  <c r="N1154" i="93" s="1"/>
  <c r="I1152" i="93"/>
  <c r="I73" i="93"/>
  <c r="M1136" i="93"/>
  <c r="N1136" i="93"/>
  <c r="N1160" i="93"/>
  <c r="M1160" i="93"/>
  <c r="N1138" i="93"/>
  <c r="M1138" i="93"/>
  <c r="H1836" i="93"/>
  <c r="H76" i="93"/>
  <c r="F1154" i="93"/>
  <c r="H1149" i="93"/>
  <c r="M1143" i="93"/>
  <c r="N1143" i="93"/>
  <c r="M1150" i="93"/>
  <c r="N1150" i="93"/>
  <c r="N1159" i="93"/>
  <c r="M1159" i="93"/>
  <c r="I1136" i="93"/>
  <c r="K1161" i="93"/>
  <c r="M1156" i="93"/>
  <c r="N1156" i="93"/>
  <c r="N1161" i="93" s="1"/>
  <c r="H78" i="93"/>
  <c r="F56" i="89"/>
  <c r="D37" i="90" s="1"/>
  <c r="M1144" i="93"/>
  <c r="N1144" i="93"/>
  <c r="I1139" i="93"/>
  <c r="M1142" i="93"/>
  <c r="K1147" i="93"/>
  <c r="N1142" i="93"/>
  <c r="N1147" i="93" s="1"/>
  <c r="M1152" i="93"/>
  <c r="N1152" i="93"/>
  <c r="I1149" i="93"/>
  <c r="I1154" i="93" s="1"/>
  <c r="F1140" i="93"/>
  <c r="H1135" i="93"/>
  <c r="M1145" i="93"/>
  <c r="N1145" i="93"/>
  <c r="H73" i="93"/>
  <c r="N1158" i="93"/>
  <c r="M1158" i="93"/>
  <c r="H1156" i="93"/>
  <c r="F1161" i="93"/>
  <c r="I1150" i="93"/>
  <c r="M1135" i="93"/>
  <c r="N1135" i="93"/>
  <c r="N1140" i="93" s="1"/>
  <c r="K1140" i="93"/>
  <c r="E7" i="88"/>
  <c r="N1157" i="93"/>
  <c r="M1157" i="93"/>
  <c r="N1153" i="93"/>
  <c r="M1153" i="93"/>
  <c r="F1147" i="93"/>
  <c r="H1142" i="93"/>
  <c r="L1954" i="93"/>
  <c r="D8" i="88"/>
  <c r="E8" i="88" s="1"/>
  <c r="M1139" i="93"/>
  <c r="N1139" i="93"/>
  <c r="I1145" i="93"/>
  <c r="I1142" i="93"/>
  <c r="I1147" i="93" s="1"/>
  <c r="J18" i="84"/>
  <c r="C40" i="84"/>
  <c r="G35" i="86"/>
  <c r="H55" i="86"/>
  <c r="O16" i="86"/>
  <c r="I15" i="86"/>
  <c r="F55" i="86"/>
  <c r="H35" i="86"/>
  <c r="H15" i="86"/>
  <c r="C35" i="86"/>
  <c r="G55" i="86"/>
  <c r="I35" i="86"/>
  <c r="F15" i="86"/>
  <c r="G15" i="86"/>
  <c r="D55" i="86"/>
  <c r="C15" i="86"/>
  <c r="F35" i="86"/>
  <c r="O17" i="86"/>
  <c r="E15" i="86"/>
  <c r="D35" i="86"/>
  <c r="D15" i="86"/>
  <c r="E55" i="86"/>
  <c r="C55" i="86"/>
  <c r="E35" i="86"/>
  <c r="F39" i="88"/>
  <c r="K40" i="84"/>
  <c r="D18" i="84"/>
  <c r="C38" i="84"/>
  <c r="P414" i="93"/>
  <c r="P413" i="93"/>
  <c r="I423" i="93"/>
  <c r="M1938" i="93"/>
  <c r="M1939" i="93" s="1"/>
  <c r="J1938" i="93"/>
  <c r="J1939" i="93" s="1"/>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F53" i="82" l="1"/>
  <c r="F984" i="93"/>
  <c r="F986" i="93" s="1"/>
  <c r="D41" i="74"/>
  <c r="C997" i="93"/>
  <c r="C81" i="84"/>
  <c r="C80" i="84"/>
  <c r="E993" i="93"/>
  <c r="F37" i="74"/>
  <c r="F10" i="86"/>
  <c r="B14" i="74"/>
  <c r="D14" i="74" s="1"/>
  <c r="H879" i="93"/>
  <c r="O879" i="93" s="1"/>
  <c r="C14" i="74"/>
  <c r="H77" i="93"/>
  <c r="H79" i="93" s="1"/>
  <c r="K1163" i="93"/>
  <c r="L1952" i="93"/>
  <c r="L1953" i="93" s="1"/>
  <c r="M1952" i="93" s="1"/>
  <c r="E13" i="84"/>
  <c r="D12" i="88"/>
  <c r="E13" i="88"/>
  <c r="L1968" i="93"/>
  <c r="P67" i="93"/>
  <c r="F1163" i="93"/>
  <c r="P415" i="93"/>
  <c r="O19" i="86"/>
  <c r="O23" i="86" s="1"/>
  <c r="O25" i="86" s="1"/>
  <c r="O31" i="86"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E14" i="74" l="1"/>
  <c r="G53" i="82"/>
  <c r="G984" i="93"/>
  <c r="G986" i="93" s="1"/>
  <c r="E41" i="74"/>
  <c r="D997" i="93"/>
  <c r="F993" i="93"/>
  <c r="G37" i="74"/>
  <c r="G10" i="86"/>
  <c r="B971" i="93"/>
  <c r="B15" i="74"/>
  <c r="O122" i="75"/>
  <c r="G14" i="74"/>
  <c r="C52" i="84"/>
  <c r="F14" i="74"/>
  <c r="P590" i="93"/>
  <c r="P591" i="93" s="1"/>
  <c r="P593" i="93" s="1"/>
  <c r="M590" i="93"/>
  <c r="M591" i="93" s="1"/>
  <c r="M593" i="93" s="1"/>
  <c r="G570" i="93"/>
  <c r="P479" i="93"/>
  <c r="I7" i="88"/>
  <c r="I13" i="88" s="1"/>
  <c r="H12" i="88"/>
  <c r="D34" i="90" s="1"/>
  <c r="B977" i="93"/>
  <c r="P936" i="93"/>
  <c r="J1599" i="93"/>
  <c r="O168" i="93"/>
  <c r="P167" i="93"/>
  <c r="P168" i="93"/>
  <c r="F479" i="93"/>
  <c r="K18" i="88"/>
  <c r="H16" i="85"/>
  <c r="J590" i="93"/>
  <c r="J591" i="93" s="1"/>
  <c r="J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53" i="82" l="1"/>
  <c r="H984" i="93"/>
  <c r="H986" i="93" s="1"/>
  <c r="G15" i="74"/>
  <c r="G16" i="74" s="1"/>
  <c r="B972" i="93"/>
  <c r="B976" i="93" s="1"/>
  <c r="H15" i="74"/>
  <c r="F15" i="74"/>
  <c r="C15" i="74"/>
  <c r="F41" i="74"/>
  <c r="E997" i="93"/>
  <c r="G993" i="93"/>
  <c r="H37" i="74"/>
  <c r="I10" i="86" s="1"/>
  <c r="H10" i="86"/>
  <c r="C53" i="84"/>
  <c r="K53" i="84" s="1"/>
  <c r="K54" i="84"/>
  <c r="B16" i="74"/>
  <c r="E15" i="74"/>
  <c r="D15" i="74"/>
  <c r="E52" i="84"/>
  <c r="G52" i="84"/>
  <c r="K52" i="84"/>
  <c r="I52" i="84"/>
  <c r="F16" i="74"/>
  <c r="J594" i="93"/>
  <c r="P937" i="93"/>
  <c r="M937" i="93"/>
  <c r="F54" i="89"/>
  <c r="D33" i="90" s="1"/>
  <c r="D55" i="92" s="1"/>
  <c r="E47" i="78"/>
  <c r="N94" i="93"/>
  <c r="J1836" i="93"/>
  <c r="L1836" i="93" s="1"/>
  <c r="M1962" i="93"/>
  <c r="O1980" i="93"/>
  <c r="O1981" i="93" s="1"/>
  <c r="O1975" i="93"/>
  <c r="O1976" i="93" s="1"/>
  <c r="L1951" i="93"/>
  <c r="E483" i="93"/>
  <c r="D570" i="93"/>
  <c r="F560" i="93"/>
  <c r="E514" i="93"/>
  <c r="N97" i="93"/>
  <c r="J479" i="93"/>
  <c r="C13" i="84"/>
  <c r="J157" i="78"/>
  <c r="J158" i="78" s="1"/>
  <c r="G15" i="82"/>
  <c r="G19" i="82" s="1"/>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I53" i="82" l="1"/>
  <c r="I984" i="93"/>
  <c r="I986" i="93" s="1"/>
  <c r="F20" i="74"/>
  <c r="K56" i="84"/>
  <c r="K64" i="84" s="1"/>
  <c r="I53" i="84"/>
  <c r="I54" i="84" s="1"/>
  <c r="C16" i="74"/>
  <c r="C20" i="74" s="1"/>
  <c r="H20" i="74"/>
  <c r="D16" i="74"/>
  <c r="D20" i="74" s="1"/>
  <c r="E16" i="74"/>
  <c r="E20" i="74"/>
  <c r="G53" i="84"/>
  <c r="G54" i="84" s="1"/>
  <c r="B20" i="74"/>
  <c r="K7" i="74" s="1"/>
  <c r="E53" i="84"/>
  <c r="E54" i="84" s="1"/>
  <c r="G20" i="74"/>
  <c r="G41" i="74"/>
  <c r="F997" i="93"/>
  <c r="H993" i="93"/>
  <c r="I37" i="74"/>
  <c r="K5" i="74"/>
  <c r="J4" i="91"/>
  <c r="C54" i="84"/>
  <c r="C56" i="84" s="1"/>
  <c r="C64" i="84" s="1"/>
  <c r="L305" i="73"/>
  <c r="M1399" i="93"/>
  <c r="L1399" i="93" s="1"/>
  <c r="D35" i="90"/>
  <c r="I64" i="92" s="1"/>
  <c r="L301" i="73"/>
  <c r="M1395" i="93"/>
  <c r="L1395" i="93" s="1"/>
  <c r="F52" i="89"/>
  <c r="K19" i="88"/>
  <c r="F16" i="85"/>
  <c r="D16" i="83"/>
  <c r="C19" i="84"/>
  <c r="H19" i="84"/>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56" i="84" l="1"/>
  <c r="I64" i="84" s="1"/>
  <c r="G56" i="84"/>
  <c r="G64" i="84" s="1"/>
  <c r="J53" i="82"/>
  <c r="J984" i="93"/>
  <c r="J986" i="93" s="1"/>
  <c r="E56" i="84"/>
  <c r="E64" i="84" s="1"/>
  <c r="I20" i="74"/>
  <c r="P927" i="93"/>
  <c r="P170" i="75"/>
  <c r="H41" i="74"/>
  <c r="G997" i="93"/>
  <c r="I993" i="93"/>
  <c r="J37" i="74"/>
  <c r="C30" i="86"/>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C68" i="84" l="1"/>
  <c r="P175" i="75"/>
  <c r="M175" i="75" s="1"/>
  <c r="N171" i="75"/>
  <c r="N172" i="75"/>
  <c r="P932" i="93"/>
  <c r="M932" i="93" s="1"/>
  <c r="N928" i="93"/>
  <c r="N929" i="93"/>
  <c r="J20" i="74"/>
  <c r="I41" i="74"/>
  <c r="H997" i="93"/>
  <c r="J993" i="93"/>
  <c r="K37" i="74"/>
  <c r="D30" i="86"/>
  <c r="E40" i="72"/>
  <c r="E1594" i="93" s="1"/>
  <c r="O1950" i="93"/>
  <c r="G598" i="93"/>
  <c r="J601" i="93"/>
  <c r="J603" i="93" s="1"/>
  <c r="J605" i="93" s="1"/>
  <c r="J607" i="93" s="1"/>
  <c r="K53" i="82"/>
  <c r="G162" i="78"/>
  <c r="J165" i="78"/>
  <c r="J167" i="78" s="1"/>
  <c r="K16" i="74"/>
  <c r="K20" i="74" s="1"/>
  <c r="C43" i="74"/>
  <c r="B51" i="74"/>
  <c r="F33" i="86" s="1"/>
  <c r="B45" i="74"/>
  <c r="B44" i="74"/>
  <c r="B73" i="82" l="1"/>
  <c r="B1014" i="93"/>
  <c r="B1016" i="93" s="1"/>
  <c r="O933" i="93"/>
  <c r="P947" i="93"/>
  <c r="F121" i="78"/>
  <c r="B975" i="93"/>
  <c r="F558" i="93"/>
  <c r="F122" i="78"/>
  <c r="F557" i="93"/>
  <c r="B19" i="74"/>
  <c r="P190" i="75"/>
  <c r="O176" i="75"/>
  <c r="K68" i="84"/>
  <c r="K70" i="84" s="1"/>
  <c r="G68" i="84"/>
  <c r="G70" i="84" s="1"/>
  <c r="E68" i="84"/>
  <c r="E70" i="84" s="1"/>
  <c r="I68" i="84"/>
  <c r="I70" i="84" s="1"/>
  <c r="C70" i="84"/>
  <c r="J41" i="74"/>
  <c r="I997" i="93"/>
  <c r="K993" i="93"/>
  <c r="B67" i="74"/>
  <c r="E30" i="86"/>
  <c r="B15" i="82"/>
  <c r="J169" i="78"/>
  <c r="J171" i="78" s="1"/>
  <c r="J611" i="93"/>
  <c r="E535" i="93" s="1"/>
  <c r="J535" i="93" s="1"/>
  <c r="M609" i="93"/>
  <c r="O43" i="72"/>
  <c r="O1597" i="93" s="1"/>
  <c r="R1597" i="93" s="1"/>
  <c r="D43" i="74"/>
  <c r="C44" i="74"/>
  <c r="C45" i="74"/>
  <c r="C51" i="74"/>
  <c r="G33" i="86" s="1"/>
  <c r="B46" i="74"/>
  <c r="B50" i="74" s="1"/>
  <c r="C73" i="82" l="1"/>
  <c r="C1014" i="93"/>
  <c r="C1016" i="93" s="1"/>
  <c r="M173" i="78"/>
  <c r="J175" i="78"/>
  <c r="I72" i="84"/>
  <c r="I76" i="84"/>
  <c r="I73" i="84" s="1"/>
  <c r="E76" i="84"/>
  <c r="E73" i="84" s="1"/>
  <c r="E72" i="84"/>
  <c r="B992" i="93"/>
  <c r="B978" i="93"/>
  <c r="G76" i="84"/>
  <c r="G73" i="84" s="1"/>
  <c r="G72" i="84"/>
  <c r="K72" i="84"/>
  <c r="K76" i="84"/>
  <c r="K73" i="84" s="1"/>
  <c r="C19" i="74"/>
  <c r="G19" i="74"/>
  <c r="F19" i="74"/>
  <c r="D19" i="74"/>
  <c r="E19" i="74"/>
  <c r="H19" i="74"/>
  <c r="I19" i="74"/>
  <c r="B22" i="74"/>
  <c r="J19" i="74"/>
  <c r="B36" i="74"/>
  <c r="K19" i="74"/>
  <c r="B49" i="74"/>
  <c r="B66" i="74" s="1"/>
  <c r="C49" i="74"/>
  <c r="C76" i="84"/>
  <c r="C73" i="84" s="1"/>
  <c r="C72" i="84"/>
  <c r="K41" i="74"/>
  <c r="J997" i="93"/>
  <c r="B1023" i="93"/>
  <c r="C67" i="74"/>
  <c r="F30" i="86"/>
  <c r="P43" i="72"/>
  <c r="R43" i="72"/>
  <c r="C46" i="74"/>
  <c r="C50" i="74" s="1"/>
  <c r="D44" i="74"/>
  <c r="E43" i="74"/>
  <c r="D51" i="74"/>
  <c r="H33" i="86" s="1"/>
  <c r="D49" i="74"/>
  <c r="D45" i="74"/>
  <c r="C66" i="74" l="1"/>
  <c r="D73" i="82"/>
  <c r="D1014" i="93"/>
  <c r="D1016" i="93" s="1"/>
  <c r="L412" i="93"/>
  <c r="N412" i="93" s="1"/>
  <c r="L413" i="93"/>
  <c r="N413" i="93" s="1"/>
  <c r="E99" i="78"/>
  <c r="J99" i="78" s="1"/>
  <c r="L50" i="68"/>
  <c r="N50" i="68" s="1"/>
  <c r="M61" i="85"/>
  <c r="P61" i="85" s="1"/>
  <c r="I9" i="66"/>
  <c r="C21" i="86"/>
  <c r="L49" i="68"/>
  <c r="I20" i="93"/>
  <c r="E36" i="74"/>
  <c r="E22" i="74"/>
  <c r="D36" i="74"/>
  <c r="D22" i="74"/>
  <c r="B986" i="93"/>
  <c r="B987" i="93"/>
  <c r="B991" i="93"/>
  <c r="C36" i="74"/>
  <c r="C22" i="74"/>
  <c r="K36" i="74"/>
  <c r="K22" i="74"/>
  <c r="F36" i="74"/>
  <c r="F22" i="74"/>
  <c r="G36" i="74"/>
  <c r="G22" i="74"/>
  <c r="B35" i="74"/>
  <c r="B30" i="74"/>
  <c r="B31" i="74"/>
  <c r="B44" i="82"/>
  <c r="I36" i="74"/>
  <c r="I22" i="74"/>
  <c r="J36" i="74"/>
  <c r="J22" i="74"/>
  <c r="C52" i="74"/>
  <c r="C60" i="74" s="1"/>
  <c r="G29" i="86" s="1"/>
  <c r="B52" i="74"/>
  <c r="H36" i="74"/>
  <c r="H22" i="74"/>
  <c r="B71" i="74"/>
  <c r="K997" i="93"/>
  <c r="C1023" i="93"/>
  <c r="D67" i="74"/>
  <c r="G30" i="86"/>
  <c r="P441" i="72"/>
  <c r="P444" i="72" s="1"/>
  <c r="P1597" i="93"/>
  <c r="P1995" i="93" s="1"/>
  <c r="D46" i="74"/>
  <c r="E44" i="74"/>
  <c r="F43" i="74"/>
  <c r="E49" i="74"/>
  <c r="E45" i="74"/>
  <c r="E51" i="74"/>
  <c r="I33" i="86" s="1"/>
  <c r="G37" i="86" l="1"/>
  <c r="G38" i="86" s="1"/>
  <c r="G40" i="86" s="1"/>
  <c r="G44" i="86" s="1"/>
  <c r="K17" i="86" s="1"/>
  <c r="E73" i="82"/>
  <c r="E1014" i="93"/>
  <c r="E1016" i="93" s="1"/>
  <c r="N49" i="68"/>
  <c r="B14" i="82"/>
  <c r="D21" i="86"/>
  <c r="C22" i="86"/>
  <c r="C42" i="86" s="1"/>
  <c r="D42" i="86" s="1"/>
  <c r="E42" i="86" s="1"/>
  <c r="C41" i="86"/>
  <c r="D41" i="86" s="1"/>
  <c r="E41" i="86" s="1"/>
  <c r="C65" i="74"/>
  <c r="C61" i="74"/>
  <c r="C64" i="82"/>
  <c r="C66" i="82" s="1"/>
  <c r="I30" i="74"/>
  <c r="C29" i="86" s="1"/>
  <c r="C37" i="86" s="1"/>
  <c r="C38" i="86" s="1"/>
  <c r="C40" i="86" s="1"/>
  <c r="C44" i="86" s="1"/>
  <c r="K13" i="86" s="1"/>
  <c r="I31" i="74"/>
  <c r="I35" i="74"/>
  <c r="I44" i="82"/>
  <c r="F44" i="82"/>
  <c r="F31" i="74"/>
  <c r="F35" i="74"/>
  <c r="F30" i="74"/>
  <c r="G9" i="86" s="1"/>
  <c r="G17" i="86" s="1"/>
  <c r="G18" i="86" s="1"/>
  <c r="G20" i="86" s="1"/>
  <c r="G24" i="86" s="1"/>
  <c r="K10" i="86" s="1"/>
  <c r="H31" i="74"/>
  <c r="H35" i="74"/>
  <c r="H30" i="74"/>
  <c r="I9" i="86" s="1"/>
  <c r="I17" i="86" s="1"/>
  <c r="I18" i="86" s="1"/>
  <c r="I20" i="86" s="1"/>
  <c r="I24" i="86" s="1"/>
  <c r="K12" i="86" s="1"/>
  <c r="H44" i="82"/>
  <c r="B51" i="82"/>
  <c r="B46" i="82"/>
  <c r="K30" i="74"/>
  <c r="E29" i="86" s="1"/>
  <c r="E37" i="86" s="1"/>
  <c r="E38" i="86" s="1"/>
  <c r="E40" i="86" s="1"/>
  <c r="E44" i="86" s="1"/>
  <c r="K15" i="86" s="1"/>
  <c r="K44" i="82"/>
  <c r="K31" i="74"/>
  <c r="K35" i="74"/>
  <c r="D31" i="74"/>
  <c r="D44" i="82"/>
  <c r="D30" i="74"/>
  <c r="E9" i="86" s="1"/>
  <c r="E17" i="86" s="1"/>
  <c r="E18" i="86" s="1"/>
  <c r="E20" i="86" s="1"/>
  <c r="E24" i="86" s="1"/>
  <c r="K8" i="86" s="1"/>
  <c r="D35" i="74"/>
  <c r="B60" i="74"/>
  <c r="F29" i="86" s="1"/>
  <c r="F37" i="86" s="1"/>
  <c r="F38" i="86" s="1"/>
  <c r="F40" i="86" s="1"/>
  <c r="F44" i="86" s="1"/>
  <c r="K16" i="86" s="1"/>
  <c r="B61" i="74"/>
  <c r="B65" i="74"/>
  <c r="B64" i="82"/>
  <c r="C9" i="86"/>
  <c r="C17" i="86" s="1"/>
  <c r="C18" i="86" s="1"/>
  <c r="C20" i="86" s="1"/>
  <c r="C24" i="86" s="1"/>
  <c r="K6" i="86" s="1"/>
  <c r="G66" i="86" s="1"/>
  <c r="N85" i="85" s="1"/>
  <c r="S19" i="74"/>
  <c r="D50" i="74"/>
  <c r="D66" i="74" s="1"/>
  <c r="E30" i="74"/>
  <c r="F9" i="86" s="1"/>
  <c r="F17" i="86" s="1"/>
  <c r="F18" i="86" s="1"/>
  <c r="F20" i="86" s="1"/>
  <c r="F24" i="86" s="1"/>
  <c r="K9" i="86" s="1"/>
  <c r="E44" i="82"/>
  <c r="E35" i="74"/>
  <c r="E31" i="74"/>
  <c r="J30" i="74"/>
  <c r="D29" i="86" s="1"/>
  <c r="D37" i="86" s="1"/>
  <c r="D38" i="86" s="1"/>
  <c r="D40" i="86" s="1"/>
  <c r="D44" i="86" s="1"/>
  <c r="K14" i="86" s="1"/>
  <c r="J44" i="82"/>
  <c r="J31" i="74"/>
  <c r="J35" i="74"/>
  <c r="G30" i="74"/>
  <c r="H9" i="86" s="1"/>
  <c r="H17" i="86" s="1"/>
  <c r="H18" i="86" s="1"/>
  <c r="H20" i="86" s="1"/>
  <c r="H24" i="86" s="1"/>
  <c r="K11" i="86" s="1"/>
  <c r="G44" i="82"/>
  <c r="G35" i="74"/>
  <c r="G31" i="74"/>
  <c r="C44" i="82"/>
  <c r="C31" i="74"/>
  <c r="C35" i="74"/>
  <c r="C30" i="74"/>
  <c r="C71" i="74"/>
  <c r="B1027" i="93"/>
  <c r="D1023" i="93"/>
  <c r="E67" i="74"/>
  <c r="H30" i="86"/>
  <c r="P1998" i="93"/>
  <c r="P1560" i="93"/>
  <c r="P6" i="72"/>
  <c r="E46" i="74"/>
  <c r="E50" i="74" s="1"/>
  <c r="E66" i="74" s="1"/>
  <c r="G43" i="74"/>
  <c r="F45" i="74"/>
  <c r="F51" i="74"/>
  <c r="C53" i="86" s="1"/>
  <c r="F49" i="74"/>
  <c r="F44" i="74"/>
  <c r="F73" i="82" l="1"/>
  <c r="F1014" i="93"/>
  <c r="F1016" i="93" s="1"/>
  <c r="E21" i="86"/>
  <c r="D22" i="86"/>
  <c r="B20" i="82"/>
  <c r="B21" i="82" s="1"/>
  <c r="G20" i="82"/>
  <c r="C71" i="82"/>
  <c r="S23" i="74"/>
  <c r="J51" i="82"/>
  <c r="J46" i="82"/>
  <c r="S22" i="74"/>
  <c r="C51" i="82"/>
  <c r="C46" i="82"/>
  <c r="D9" i="86"/>
  <c r="D17" i="86" s="1"/>
  <c r="D18" i="86" s="1"/>
  <c r="D20" i="86" s="1"/>
  <c r="D24" i="86" s="1"/>
  <c r="K7" i="86" s="1"/>
  <c r="S29" i="74"/>
  <c r="S28" i="74"/>
  <c r="S21" i="74"/>
  <c r="S30" i="74"/>
  <c r="S27" i="74"/>
  <c r="D51" i="82"/>
  <c r="D46" i="82"/>
  <c r="H46" i="82"/>
  <c r="H51" i="82"/>
  <c r="F51" i="82"/>
  <c r="F46" i="82"/>
  <c r="I51" i="82"/>
  <c r="I46" i="82"/>
  <c r="S20" i="74"/>
  <c r="G51" i="82"/>
  <c r="G46" i="82"/>
  <c r="S26" i="74"/>
  <c r="B71" i="82"/>
  <c r="B66" i="82"/>
  <c r="E52" i="74"/>
  <c r="E65" i="74" s="1"/>
  <c r="E51" i="82"/>
  <c r="E46" i="82"/>
  <c r="S25" i="74"/>
  <c r="S24" i="74"/>
  <c r="K51" i="82"/>
  <c r="K46" i="82"/>
  <c r="D52" i="74"/>
  <c r="D71" i="74"/>
  <c r="C1027" i="93"/>
  <c r="E1023" i="93"/>
  <c r="F67" i="74"/>
  <c r="I30" i="86"/>
  <c r="F46" i="74"/>
  <c r="F50" i="74" s="1"/>
  <c r="F66" i="74" s="1"/>
  <c r="H43" i="74"/>
  <c r="G44" i="74"/>
  <c r="G45" i="74"/>
  <c r="G51" i="74"/>
  <c r="D53" i="86" s="1"/>
  <c r="G49" i="74"/>
  <c r="G73" i="82" l="1"/>
  <c r="G1014" i="93"/>
  <c r="G1016" i="93" s="1"/>
  <c r="E64" i="82"/>
  <c r="E71" i="82" s="1"/>
  <c r="E60" i="74"/>
  <c r="I29" i="86" s="1"/>
  <c r="I37" i="86" s="1"/>
  <c r="I38" i="86" s="1"/>
  <c r="I40" i="86" s="1"/>
  <c r="I44" i="86" s="1"/>
  <c r="K19" i="86" s="1"/>
  <c r="E61" i="74"/>
  <c r="F21" i="86"/>
  <c r="E22" i="86"/>
  <c r="D64" i="82"/>
  <c r="D61" i="74"/>
  <c r="D65" i="74"/>
  <c r="D60" i="74"/>
  <c r="F52" i="74"/>
  <c r="F65" i="74" s="1"/>
  <c r="E71" i="74"/>
  <c r="D1027" i="93"/>
  <c r="F1023" i="93"/>
  <c r="G67" i="74"/>
  <c r="D50" i="86" s="1"/>
  <c r="D57" i="86" s="1"/>
  <c r="D58" i="86" s="1"/>
  <c r="D60" i="86" s="1"/>
  <c r="D64" i="86" s="1"/>
  <c r="K21" i="86" s="1"/>
  <c r="C50" i="86"/>
  <c r="H58" i="74"/>
  <c r="I43" i="74"/>
  <c r="H44" i="74"/>
  <c r="H45" i="74"/>
  <c r="H51" i="74"/>
  <c r="E53" i="86" s="1"/>
  <c r="H49" i="74"/>
  <c r="G46" i="74"/>
  <c r="E66" i="82" l="1"/>
  <c r="H73" i="82"/>
  <c r="H1014" i="93"/>
  <c r="H1016" i="93" s="1"/>
  <c r="S32" i="74"/>
  <c r="F22" i="86"/>
  <c r="G21" i="86"/>
  <c r="S31" i="74"/>
  <c r="H29" i="86"/>
  <c r="H37" i="86" s="1"/>
  <c r="H38" i="86" s="1"/>
  <c r="H40" i="86" s="1"/>
  <c r="H44" i="86" s="1"/>
  <c r="K18" i="86" s="1"/>
  <c r="D71" i="82"/>
  <c r="D66" i="82"/>
  <c r="G50" i="74"/>
  <c r="G66" i="74" s="1"/>
  <c r="F64" i="82"/>
  <c r="F71" i="82" s="1"/>
  <c r="F61" i="74"/>
  <c r="F60" i="74"/>
  <c r="S33" i="74" s="1"/>
  <c r="F71" i="74"/>
  <c r="E1027" i="93"/>
  <c r="G1023" i="93"/>
  <c r="H67" i="74"/>
  <c r="I58" i="74"/>
  <c r="H46" i="74"/>
  <c r="I44" i="74"/>
  <c r="I49" i="74"/>
  <c r="J43" i="74"/>
  <c r="I51" i="74"/>
  <c r="F53" i="86" s="1"/>
  <c r="I45" i="74"/>
  <c r="I73" i="82" l="1"/>
  <c r="I1014" i="93"/>
  <c r="I1016" i="93" s="1"/>
  <c r="H21" i="86"/>
  <c r="G22" i="86"/>
  <c r="C49" i="86"/>
  <c r="C57" i="86" s="1"/>
  <c r="C58" i="86" s="1"/>
  <c r="C60" i="86" s="1"/>
  <c r="C64" i="86" s="1"/>
  <c r="K20" i="86" s="1"/>
  <c r="G52" i="74"/>
  <c r="F66" i="82"/>
  <c r="B25" i="82" s="1"/>
  <c r="J52" i="82" s="1"/>
  <c r="J54" i="82" s="1"/>
  <c r="J55" i="82" s="1"/>
  <c r="J56" i="82" s="1"/>
  <c r="H50" i="74"/>
  <c r="H66" i="74" s="1"/>
  <c r="G71" i="74"/>
  <c r="G1027" i="93" s="1"/>
  <c r="F1027" i="93"/>
  <c r="H1023" i="93"/>
  <c r="I67" i="74"/>
  <c r="E50" i="86"/>
  <c r="E57" i="86" s="1"/>
  <c r="E58" i="86" s="1"/>
  <c r="E60" i="86" s="1"/>
  <c r="E64" i="86" s="1"/>
  <c r="K22" i="86" s="1"/>
  <c r="F44" i="68"/>
  <c r="F407" i="93" s="1"/>
  <c r="J58" i="74"/>
  <c r="I46" i="74"/>
  <c r="K43" i="74"/>
  <c r="J49" i="74"/>
  <c r="J44" i="74"/>
  <c r="J51" i="74"/>
  <c r="G53" i="86" s="1"/>
  <c r="J45" i="74"/>
  <c r="J73" i="82" l="1"/>
  <c r="J1014" i="93"/>
  <c r="J1016" i="93" s="1"/>
  <c r="H22" i="86"/>
  <c r="I21" i="86"/>
  <c r="I22" i="86" s="1"/>
  <c r="E52" i="82"/>
  <c r="E54" i="82" s="1"/>
  <c r="E55" i="82" s="1"/>
  <c r="E56" i="82" s="1"/>
  <c r="K72" i="82"/>
  <c r="F52" i="82"/>
  <c r="F54" i="82" s="1"/>
  <c r="F55" i="82" s="1"/>
  <c r="F56" i="82" s="1"/>
  <c r="G72" i="82"/>
  <c r="H52" i="74"/>
  <c r="B26" i="82"/>
  <c r="B28" i="82" s="1"/>
  <c r="K52" i="82"/>
  <c r="K54" i="82" s="1"/>
  <c r="K55" i="82" s="1"/>
  <c r="K56" i="82" s="1"/>
  <c r="C72" i="82"/>
  <c r="C74" i="82" s="1"/>
  <c r="C75" i="82" s="1"/>
  <c r="C76" i="82" s="1"/>
  <c r="J72" i="82"/>
  <c r="E72" i="82"/>
  <c r="E74" i="82" s="1"/>
  <c r="E75" i="82" s="1"/>
  <c r="E76" i="82" s="1"/>
  <c r="F72" i="82"/>
  <c r="F74" i="82" s="1"/>
  <c r="F75" i="82" s="1"/>
  <c r="F76" i="82" s="1"/>
  <c r="D72" i="82"/>
  <c r="D74" i="82" s="1"/>
  <c r="D75" i="82" s="1"/>
  <c r="D76" i="82" s="1"/>
  <c r="G60" i="74"/>
  <c r="S34" i="74" s="1"/>
  <c r="G65" i="74"/>
  <c r="G61" i="74"/>
  <c r="G64" i="82"/>
  <c r="C52" i="82"/>
  <c r="C54" i="82" s="1"/>
  <c r="C55" i="82" s="1"/>
  <c r="C56" i="82" s="1"/>
  <c r="I72" i="82"/>
  <c r="D52" i="82"/>
  <c r="D54" i="82" s="1"/>
  <c r="D55" i="82" s="1"/>
  <c r="D56" i="82" s="1"/>
  <c r="B52" i="82"/>
  <c r="B54" i="82" s="1"/>
  <c r="B55" i="82" s="1"/>
  <c r="B59" i="82" s="1"/>
  <c r="G52" i="82"/>
  <c r="G54" i="82" s="1"/>
  <c r="G55" i="82" s="1"/>
  <c r="G56" i="82" s="1"/>
  <c r="B72" i="82"/>
  <c r="B74" i="82" s="1"/>
  <c r="B75" i="82" s="1"/>
  <c r="B76" i="82" s="1"/>
  <c r="H52" i="82"/>
  <c r="H54" i="82" s="1"/>
  <c r="H55" i="82" s="1"/>
  <c r="H56" i="82" s="1"/>
  <c r="I52" i="82"/>
  <c r="I54" i="82" s="1"/>
  <c r="I55" i="82" s="1"/>
  <c r="I56" i="82" s="1"/>
  <c r="H72" i="82"/>
  <c r="I50" i="74"/>
  <c r="I66" i="74" s="1"/>
  <c r="I1023" i="93"/>
  <c r="J67" i="74"/>
  <c r="G50" i="86" s="1"/>
  <c r="G57" i="86" s="1"/>
  <c r="G58" i="86" s="1"/>
  <c r="G60" i="86" s="1"/>
  <c r="G64" i="86" s="1"/>
  <c r="K24" i="86" s="1"/>
  <c r="F50" i="86"/>
  <c r="F57" i="86" s="1"/>
  <c r="F58" i="86" s="1"/>
  <c r="F60" i="86" s="1"/>
  <c r="F64" i="86" s="1"/>
  <c r="K23" i="86" s="1"/>
  <c r="K58" i="74"/>
  <c r="K1014" i="93" s="1"/>
  <c r="K1016" i="93" s="1"/>
  <c r="B73" i="74"/>
  <c r="K44" i="74"/>
  <c r="K45" i="74"/>
  <c r="K51" i="74"/>
  <c r="H53" i="86" s="1"/>
  <c r="K49" i="74"/>
  <c r="J46" i="74"/>
  <c r="J50" i="74" s="1"/>
  <c r="J66" i="74" s="1"/>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H64" i="82"/>
  <c r="H61" i="74"/>
  <c r="H65" i="74"/>
  <c r="H60" i="74"/>
  <c r="S35" i="74" s="1"/>
  <c r="J52" i="74"/>
  <c r="J60" i="74" s="1"/>
  <c r="I52" i="74"/>
  <c r="B5" i="82"/>
  <c r="B6" i="82" s="1"/>
  <c r="B7" i="82" s="1"/>
  <c r="G66" i="82"/>
  <c r="G71" i="82"/>
  <c r="G74" i="82" s="1"/>
  <c r="G75" i="82" s="1"/>
  <c r="G76" i="82" s="1"/>
  <c r="J1023" i="93"/>
  <c r="K67" i="74"/>
  <c r="B29" i="82"/>
  <c r="G21" i="82"/>
  <c r="B56" i="82"/>
  <c r="K73" i="82"/>
  <c r="B88" i="74"/>
  <c r="B1044" i="93" s="1"/>
  <c r="B1045" i="93" s="1"/>
  <c r="K46" i="74"/>
  <c r="K50" i="74" s="1"/>
  <c r="K66" i="74" s="1"/>
  <c r="C73" i="74"/>
  <c r="B81" i="74"/>
  <c r="B74" i="74"/>
  <c r="B79" i="74"/>
  <c r="B75" i="74"/>
  <c r="J65" i="74" l="1"/>
  <c r="J64" i="82"/>
  <c r="J71" i="82" s="1"/>
  <c r="J74" i="82" s="1"/>
  <c r="J75" i="82" s="1"/>
  <c r="J76" i="82" s="1"/>
  <c r="J61" i="74"/>
  <c r="I65" i="74"/>
  <c r="I60" i="74"/>
  <c r="S36" i="74" s="1"/>
  <c r="I64" i="82"/>
  <c r="I61" i="74"/>
  <c r="K52" i="74"/>
  <c r="K61" i="74" s="1"/>
  <c r="H71" i="82"/>
  <c r="H74" i="82" s="1"/>
  <c r="H75" i="82" s="1"/>
  <c r="H76" i="82" s="1"/>
  <c r="H66" i="82"/>
  <c r="K1023" i="93"/>
  <c r="C85" i="90"/>
  <c r="O8" i="86"/>
  <c r="O14" i="86" s="1"/>
  <c r="O33" i="86" s="1"/>
  <c r="H63" i="86" s="1"/>
  <c r="L93" i="85"/>
  <c r="L63" i="85"/>
  <c r="B96" i="74"/>
  <c r="H50" i="86"/>
  <c r="H57" i="86" s="1"/>
  <c r="H58" i="86" s="1"/>
  <c r="H60" i="86" s="1"/>
  <c r="H64" i="86" s="1"/>
  <c r="K25" i="86" s="1"/>
  <c r="I45" i="68"/>
  <c r="I408" i="93" s="1"/>
  <c r="C88" i="74"/>
  <c r="C1044" i="93" s="1"/>
  <c r="C1045" i="93" s="1"/>
  <c r="D73" i="74"/>
  <c r="C79" i="74"/>
  <c r="C81" i="74"/>
  <c r="C75" i="74"/>
  <c r="C74" i="74"/>
  <c r="B76" i="74"/>
  <c r="K64" i="82" l="1"/>
  <c r="K71" i="82" s="1"/>
  <c r="K74" i="82" s="1"/>
  <c r="K75" i="82" s="1"/>
  <c r="K76" i="82" s="1"/>
  <c r="K60" i="74"/>
  <c r="S38" i="74" s="1"/>
  <c r="S37" i="74"/>
  <c r="J66" i="82"/>
  <c r="B80" i="74"/>
  <c r="B95" i="74" s="1"/>
  <c r="K65" i="74"/>
  <c r="I66" i="82"/>
  <c r="I71" i="82"/>
  <c r="I74" i="82" s="1"/>
  <c r="I75" i="82" s="1"/>
  <c r="I76" i="82" s="1"/>
  <c r="B1052" i="93"/>
  <c r="C96" i="74"/>
  <c r="F408" i="93"/>
  <c r="F85" i="92"/>
  <c r="F89" i="92" s="1"/>
  <c r="F105" i="92" s="1"/>
  <c r="D88" i="74"/>
  <c r="D1044" i="93" s="1"/>
  <c r="D1045" i="93" s="1"/>
  <c r="C76" i="74"/>
  <c r="C80" i="74" s="1"/>
  <c r="C95" i="74" s="1"/>
  <c r="E73" i="74"/>
  <c r="D81" i="74"/>
  <c r="D75" i="74"/>
  <c r="D79" i="74"/>
  <c r="D74" i="74"/>
  <c r="K66" i="82" l="1"/>
  <c r="C82" i="74"/>
  <c r="C89" i="74" s="1"/>
  <c r="B82" i="74"/>
  <c r="C1052" i="93"/>
  <c r="D96" i="74"/>
  <c r="E88" i="74"/>
  <c r="E1044" i="93" s="1"/>
  <c r="E1045" i="93" s="1"/>
  <c r="D76" i="74"/>
  <c r="D80" i="74" s="1"/>
  <c r="D95" i="74" s="1"/>
  <c r="F73" i="74"/>
  <c r="E74" i="74"/>
  <c r="E79" i="74"/>
  <c r="E75" i="74"/>
  <c r="E81" i="74"/>
  <c r="C90" i="74" l="1"/>
  <c r="C94" i="74"/>
  <c r="B94" i="74"/>
  <c r="B90" i="74"/>
  <c r="B89" i="74"/>
  <c r="D82" i="74"/>
  <c r="D89" i="74" s="1"/>
  <c r="D1052" i="93"/>
  <c r="E96" i="74"/>
  <c r="F88" i="74"/>
  <c r="F1044" i="93" s="1"/>
  <c r="F1045" i="93" s="1"/>
  <c r="E76" i="74"/>
  <c r="G73" i="74"/>
  <c r="F75" i="74"/>
  <c r="F74" i="74"/>
  <c r="F81" i="74"/>
  <c r="F79" i="74"/>
  <c r="D94" i="74" l="1"/>
  <c r="D90" i="74"/>
  <c r="E80" i="74"/>
  <c r="E95" i="74" s="1"/>
  <c r="E1052" i="93"/>
  <c r="F96" i="74"/>
  <c r="G88" i="74"/>
  <c r="G1044" i="93" s="1"/>
  <c r="G1045" i="93" s="1"/>
  <c r="H73" i="74"/>
  <c r="G74" i="74"/>
  <c r="G79" i="74"/>
  <c r="G75" i="74"/>
  <c r="G81" i="74"/>
  <c r="F76" i="74"/>
  <c r="F80" i="74" s="1"/>
  <c r="F95" i="74" s="1"/>
  <c r="E82" i="74" l="1"/>
  <c r="F82" i="74"/>
  <c r="F89" i="74" s="1"/>
  <c r="F1052" i="93"/>
  <c r="G96" i="74"/>
  <c r="H88" i="74"/>
  <c r="H1044" i="93" s="1"/>
  <c r="H1045" i="93" s="1"/>
  <c r="G76" i="74"/>
  <c r="G80" i="74" s="1"/>
  <c r="G95" i="74" s="1"/>
  <c r="I73" i="74"/>
  <c r="H81" i="74"/>
  <c r="H75" i="74"/>
  <c r="H74" i="74"/>
  <c r="H79" i="74"/>
  <c r="F94" i="74" l="1"/>
  <c r="F90" i="74"/>
  <c r="G82" i="74"/>
  <c r="G94" i="74" s="1"/>
  <c r="E90" i="74"/>
  <c r="E89" i="74"/>
  <c r="E94" i="74"/>
  <c r="G1052" i="93"/>
  <c r="H96" i="74"/>
  <c r="I88" i="74"/>
  <c r="I1044" i="93" s="1"/>
  <c r="I1045" i="93" s="1"/>
  <c r="J73" i="74"/>
  <c r="I79" i="74"/>
  <c r="I74" i="74"/>
  <c r="I81" i="74"/>
  <c r="I75" i="74"/>
  <c r="H76" i="74"/>
  <c r="H80" i="74" s="1"/>
  <c r="H95" i="74" s="1"/>
  <c r="G90" i="74" l="1"/>
  <c r="G89" i="74"/>
  <c r="H82" i="74"/>
  <c r="H89" i="74" s="1"/>
  <c r="H1052" i="93"/>
  <c r="I96" i="74"/>
  <c r="J88" i="74"/>
  <c r="J1044" i="93" s="1"/>
  <c r="J1045" i="93" s="1"/>
  <c r="I76" i="74"/>
  <c r="I80" i="74" s="1"/>
  <c r="I95" i="74" s="1"/>
  <c r="K73" i="74"/>
  <c r="J79" i="74"/>
  <c r="J81" i="74"/>
  <c r="J75" i="74"/>
  <c r="J74" i="74"/>
  <c r="H94" i="74" l="1"/>
  <c r="H90" i="74"/>
  <c r="I82" i="74"/>
  <c r="I90" i="74" s="1"/>
  <c r="I1052" i="93"/>
  <c r="J96" i="74"/>
  <c r="K88" i="74"/>
  <c r="K1044" i="93" s="1"/>
  <c r="K1045" i="93" s="1"/>
  <c r="J76" i="74"/>
  <c r="B101" i="74"/>
  <c r="K74" i="74"/>
  <c r="K75" i="74"/>
  <c r="K81" i="74"/>
  <c r="K79" i="74"/>
  <c r="I94" i="74" l="1"/>
  <c r="I89" i="74"/>
  <c r="J80" i="74"/>
  <c r="J95" i="74" s="1"/>
  <c r="J1052" i="93"/>
  <c r="K96" i="74"/>
  <c r="B116" i="74"/>
  <c r="B1072" i="93" s="1"/>
  <c r="B1073" i="93" s="1"/>
  <c r="K76" i="74"/>
  <c r="C101" i="74"/>
  <c r="B109" i="74"/>
  <c r="B107" i="74"/>
  <c r="B102" i="74"/>
  <c r="B103" i="74"/>
  <c r="J82" i="74" l="1"/>
  <c r="K80" i="74"/>
  <c r="K95" i="74" s="1"/>
  <c r="K1052" i="93"/>
  <c r="B124" i="74"/>
  <c r="C116" i="74"/>
  <c r="C1072" i="93" s="1"/>
  <c r="C1073" i="93" s="1"/>
  <c r="D101" i="74"/>
  <c r="C109" i="74"/>
  <c r="C107" i="74"/>
  <c r="C103" i="74"/>
  <c r="C102" i="74"/>
  <c r="B104" i="74"/>
  <c r="B108" i="74" s="1"/>
  <c r="B123" i="74" s="1"/>
  <c r="J89" i="74" l="1"/>
  <c r="J90" i="74"/>
  <c r="J94" i="74"/>
  <c r="B110" i="74"/>
  <c r="B122" i="74" s="1"/>
  <c r="K82" i="74"/>
  <c r="B1080" i="93"/>
  <c r="C124" i="74"/>
  <c r="D116" i="74"/>
  <c r="D1072" i="93" s="1"/>
  <c r="D1073" i="93" s="1"/>
  <c r="C104" i="74"/>
  <c r="C108" i="74" s="1"/>
  <c r="C123" i="74" s="1"/>
  <c r="D107" i="74"/>
  <c r="D102" i="74"/>
  <c r="E101" i="74"/>
  <c r="D103" i="74"/>
  <c r="D109" i="74"/>
  <c r="B117" i="74" l="1"/>
  <c r="B118" i="74"/>
  <c r="K89" i="74"/>
  <c r="K94" i="74"/>
  <c r="K90" i="74"/>
  <c r="C110" i="74"/>
  <c r="C117" i="74" s="1"/>
  <c r="D108" i="74"/>
  <c r="D123" i="74" s="1"/>
  <c r="C1080" i="93"/>
  <c r="D124" i="74"/>
  <c r="E116" i="74"/>
  <c r="E1072" i="93" s="1"/>
  <c r="E1073" i="93" s="1"/>
  <c r="D104" i="74"/>
  <c r="F101" i="74"/>
  <c r="E102" i="74"/>
  <c r="E109" i="74"/>
  <c r="E103" i="74"/>
  <c r="E107" i="74"/>
  <c r="C122" i="74" l="1"/>
  <c r="C118" i="74"/>
  <c r="D110" i="74"/>
  <c r="D117" i="74" s="1"/>
  <c r="D1080" i="93"/>
  <c r="E124" i="74"/>
  <c r="F116" i="74"/>
  <c r="F1072" i="93" s="1"/>
  <c r="F1073" i="93" s="1"/>
  <c r="E104" i="74"/>
  <c r="F109" i="74"/>
  <c r="F103" i="74"/>
  <c r="F102" i="74"/>
  <c r="F107" i="74"/>
  <c r="D118" i="74" l="1"/>
  <c r="D122" i="74"/>
  <c r="E108" i="74"/>
  <c r="E123" i="74" s="1"/>
  <c r="E1080" i="93"/>
  <c r="F124" i="74"/>
  <c r="F1080" i="93" s="1"/>
  <c r="F104" i="74"/>
  <c r="E110" i="74" l="1"/>
  <c r="F108" i="74"/>
  <c r="F123"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22" i="74" s="1"/>
  <c r="E118" i="74"/>
  <c r="E117" i="74"/>
  <c r="E122" i="74"/>
  <c r="A58" i="26"/>
  <c r="G58" i="26"/>
  <c r="A1" i="25"/>
  <c r="A50" i="25"/>
  <c r="A1" i="26"/>
  <c r="F118" i="74" l="1"/>
  <c r="F117"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<sst xmlns="http://schemas.openxmlformats.org/spreadsheetml/2006/main" count="13300" uniqueCount="4864">
  <si>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</si>
  <si>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</si>
  <si>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</si>
  <si>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</si>
  <si>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</si>
  <si>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</si>
  <si>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</si>
  <si>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</si>
  <si>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</si>
  <si>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</si>
  <si>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</si>
  <si>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</si>
  <si>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</si>
  <si>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</si>
  <si>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</si>
  <si>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</si>
  <si>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</si>
  <si>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</si>
  <si>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</si>
  <si>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</si>
  <si>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</si>
  <si>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</si>
  <si>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</si>
  <si>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</si>
  <si>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</si>
  <si>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</si>
  <si>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</si>
  <si>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</si>
  <si>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</si>
  <si>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</si>
  <si>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</si>
  <si>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</si>
  <si>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</si>
  <si>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</si>
  <si>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</si>
  <si>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</si>
  <si>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</si>
  <si>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</si>
  <si>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</si>
  <si>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</si>
  <si>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</si>
  <si>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</si>
  <si>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</si>
  <si>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</si>
  <si>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</si>
  <si>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</si>
  <si>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</si>
  <si>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</si>
  <si>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</si>
  <si>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</si>
  <si>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</si>
  <si>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</si>
  <si>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</si>
  <si>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</si>
  <si>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</si>
  <si>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</si>
  <si>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</si>
  <si>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</si>
  <si>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</si>
  <si>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</si>
  <si>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</si>
  <si>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</si>
  <si>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</si>
  <si>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</si>
  <si>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</si>
  <si>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</si>
  <si>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</si>
  <si>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</si>
  <si>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</si>
  <si>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</si>
  <si>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</si>
  <si>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</si>
  <si>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</si>
  <si>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</si>
  <si>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</si>
  <si>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</si>
  <si>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</si>
  <si>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</si>
  <si>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</si>
  <si>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</si>
  <si>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</si>
  <si>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</si>
  <si>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</si>
  <si>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</si>
  <si>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</si>
  <si>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</si>
  <si>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</si>
  <si>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</si>
  <si>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</si>
  <si>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</si>
  <si>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</si>
  <si>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</si>
  <si>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</si>
  <si>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</si>
  <si>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</si>
  <si>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</si>
  <si>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</si>
  <si>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</si>
  <si>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</si>
  <si>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</si>
  <si>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</si>
  <si>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</si>
  <si>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</si>
  <si>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</si>
  <si>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</si>
  <si>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</si>
  <si>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</si>
  <si>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</si>
  <si>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</si>
  <si>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</si>
  <si>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</si>
  <si>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</si>
  <si>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</si>
  <si>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</si>
  <si>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</si>
  <si>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</si>
  <si>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</si>
  <si>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</si>
  <si>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</si>
  <si>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</si>
  <si>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</si>
  <si>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</si>
  <si>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</si>
  <si>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</si>
  <si>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</si>
  <si>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</si>
  <si>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</si>
  <si>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</si>
  <si>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</si>
  <si>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</si>
  <si>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</si>
  <si>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</si>
  <si>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</si>
  <si>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</si>
  <si>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</si>
  <si>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</si>
  <si>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</si>
  <si>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</si>
  <si>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</si>
  <si>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</si>
  <si>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</si>
  <si>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</si>
  <si>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</si>
  <si>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</si>
  <si>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</si>
  <si>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</si>
  <si>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</si>
  <si>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</si>
  <si>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</si>
  <si>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</si>
  <si>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</si>
  <si>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</si>
  <si>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</si>
  <si>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</si>
  <si>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</si>
  <si>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</si>
  <si>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</si>
  <si>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</si>
  <si>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</si>
  <si>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</si>
  <si>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</si>
  <si>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</si>
  <si>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</si>
  <si>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</si>
  <si>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</si>
  <si>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</si>
  <si>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</si>
  <si>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</si>
  <si>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</si>
  <si>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</si>
  <si>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</si>
  <si>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</si>
  <si>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</si>
  <si>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</si>
  <si>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</si>
  <si>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</si>
  <si>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</si>
  <si>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</si>
  <si>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</si>
  <si>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</si>
  <si>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</si>
  <si>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</si>
  <si>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</si>
  <si>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</si>
  <si>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</si>
  <si>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</si>
  <si>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</si>
  <si>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</si>
  <si>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</si>
  <si>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</si>
  <si>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</si>
  <si>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</si>
  <si>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</si>
  <si>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</si>
  <si>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</si>
  <si>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</si>
  <si>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</si>
  <si>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</si>
  <si>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</si>
  <si>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</si>
  <si>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</si>
  <si>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</si>
  <si>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</si>
  <si>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</si>
  <si>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</si>
  <si>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</si>
  <si>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</si>
  <si>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</si>
  <si>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</si>
  <si>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</si>
  <si>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</si>
  <si>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</si>
  <si>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</si>
  <si>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</si>
  <si>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</si>
  <si>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</si>
  <si>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</si>
  <si>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</si>
  <si>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</si>
  <si>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</si>
  <si>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</si>
  <si>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</si>
  <si>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</si>
  <si>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</si>
  <si>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</si>
  <si>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</si>
  <si>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</si>
  <si>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</si>
  <si>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</si>
  <si>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</si>
  <si>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</si>
  <si>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</si>
  <si>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</si>
  <si>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</si>
  <si>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</si>
  <si>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</si>
  <si>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</si>
  <si>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</si>
  <si>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</si>
  <si>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</si>
  <si>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</si>
  <si>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</si>
  <si>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</si>
  <si>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</si>
  <si>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</si>
  <si>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</si>
  <si>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</si>
  <si>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</si>
  <si>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</si>
  <si>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</si>
  <si>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</si>
  <si>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</si>
  <si>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</si>
  <si>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</si>
  <si>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</si>
  <si>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</si>
  <si>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</si>
  <si>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</si>
  <si>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</si>
  <si>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</si>
  <si>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</si>
  <si>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</si>
  <si>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</si>
  <si>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</si>
  <si>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</si>
  <si>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</si>
  <si>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</si>
  <si>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</si>
  <si>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</si>
  <si>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</si>
  <si>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</si>
  <si>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</si>
  <si>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</si>
  <si>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</si>
  <si>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</si>
  <si>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</si>
  <si>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</si>
  <si>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</si>
  <si>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</si>
  <si>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</si>
  <si>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</si>
  <si>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</si>
  <si>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</si>
  <si>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</si>
  <si>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</si>
  <si>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</si>
  <si>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</si>
  <si>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</si>
  <si>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</si>
  <si>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</si>
  <si>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</si>
  <si>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</si>
  <si>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</si>
  <si>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</si>
  <si>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</si>
  <si>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</si>
  <si>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</si>
  <si>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</si>
  <si>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</si>
  <si>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</si>
  <si>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</si>
  <si>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</si>
  <si>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</si>
  <si>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</si>
  <si>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</si>
  <si>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</si>
  <si>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</si>
  <si>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</si>
  <si>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</si>
  <si>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</si>
  <si>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</si>
  <si>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</si>
  <si>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</si>
  <si>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</si>
  <si>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</si>
  <si>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</si>
  <si>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</si>
  <si>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</si>
  <si>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</si>
  <si>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</si>
  <si>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</si>
  <si>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</si>
  <si>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</si>
  <si>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</si>
  <si>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</si>
  <si>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</si>
  <si>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</si>
  <si>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</si>
  <si>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</si>
  <si>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</si>
  <si>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</si>
  <si>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</si>
  <si>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</si>
  <si>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</si>
  <si>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</si>
  <si>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</si>
  <si>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</si>
  <si>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</si>
  <si>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</si>
  <si>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</si>
  <si>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</si>
  <si>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</si>
  <si>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</si>
  <si>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</si>
  <si>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</si>
  <si>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</si>
  <si>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</si>
  <si>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</si>
  <si>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</si>
  <si>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</si>
  <si>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</si>
  <si>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</si>
  <si>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</si>
  <si>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</si>
  <si>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</si>
  <si>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</si>
  <si>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</si>
  <si>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</si>
  <si>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</si>
  <si>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</si>
  <si>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</si>
  <si>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</si>
  <si>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</si>
  <si>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</si>
  <si>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</si>
  <si>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</si>
  <si>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</si>
  <si>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</si>
  <si>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</si>
  <si>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</si>
  <si>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</si>
  <si>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</si>
  <si>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</si>
  <si>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</si>
  <si>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</si>
  <si>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</si>
  <si>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</si>
  <si>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</si>
  <si>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</si>
  <si>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</si>
  <si>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</si>
  <si>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</si>
  <si>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</si>
  <si>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</si>
  <si>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</si>
  <si>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</si>
  <si>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</si>
  <si>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</si>
  <si>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</si>
  <si>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</si>
  <si>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</si>
  <si>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</si>
  <si>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</si>
  <si>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</si>
  <si>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</si>
  <si>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</si>
  <si>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</si>
  <si>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</si>
  <si>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</si>
  <si>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</si>
  <si>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</si>
  <si>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</si>
  <si>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</si>
  <si>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</si>
  <si>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</si>
  <si>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</si>
  <si>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</si>
  <si>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</si>
  <si>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</si>
  <si>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</si>
  <si>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</si>
  <si>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</si>
  <si>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</si>
  <si>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</si>
  <si>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</si>
  <si>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</si>
  <si>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</si>
  <si>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</si>
  <si>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</si>
  <si>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</si>
  <si>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</si>
  <si>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</si>
  <si>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</si>
  <si>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</si>
  <si>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</si>
  <si>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</si>
  <si>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</si>
  <si>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</si>
  <si>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</si>
  <si>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</si>
  <si>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</si>
  <si>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</si>
  <si>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</si>
  <si>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</si>
  <si>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</si>
  <si>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</si>
  <si>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</si>
  <si>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</si>
  <si>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</si>
  <si>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</si>
  <si>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</si>
  <si>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</si>
  <si>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</si>
  <si>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</si>
  <si>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</si>
  <si>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</si>
  <si>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</si>
  <si>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</si>
  <si>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</si>
  <si>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</si>
  <si>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</si>
  <si>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</si>
  <si>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</si>
  <si>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</si>
  <si>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</si>
  <si>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</si>
  <si>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</si>
  <si>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</si>
  <si>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</si>
  <si>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</si>
  <si>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</si>
  <si>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</si>
  <si>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</si>
  <si>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</si>
  <si>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</si>
  <si>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</si>
  <si>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</si>
  <si>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</si>
  <si>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</si>
  <si>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</si>
  <si>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</si>
  <si>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</si>
  <si>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</si>
  <si>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</si>
  <si>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</si>
  <si>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</si>
  <si>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</si>
  <si>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</si>
  <si>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</si>
  <si>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</si>
  <si>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</si>
  <si>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</si>
  <si>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</si>
  <si>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</si>
  <si>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</si>
  <si>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</si>
  <si>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</si>
  <si>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</si>
  <si>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</si>
  <si>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</si>
  <si>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</si>
  <si>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</si>
  <si>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</si>
  <si>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</si>
  <si>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</si>
  <si>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</si>
  <si>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</si>
  <si>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</si>
  <si>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</si>
  <si>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</si>
  <si>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</si>
  <si>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</si>
  <si>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</si>
  <si>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</si>
  <si>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</si>
  <si>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</si>
  <si>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</si>
  <si>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</si>
  <si>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</si>
  <si>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</si>
  <si>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</si>
  <si>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</si>
  <si>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</si>
  <si>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</si>
  <si>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</si>
  <si>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</si>
  <si>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</si>
  <si>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</si>
  <si>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</si>
  <si>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</si>
  <si>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</si>
  <si>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</si>
  <si>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</si>
  <si>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</si>
  <si>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</si>
  <si>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</si>
  <si>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</si>
  <si>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</si>
  <si>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</si>
  <si>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</si>
  <si>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</si>
  <si>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</si>
  <si>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</si>
  <si>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</si>
  <si>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</si>
  <si>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</si>
  <si>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</si>
  <si>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</si>
  <si>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</si>
  <si>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</si>
  <si>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</si>
  <si>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</si>
  <si>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</si>
  <si>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</si>
  <si>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</si>
  <si>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</si>
  <si>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</si>
  <si>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</si>
  <si>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</si>
  <si>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</si>
  <si>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</si>
  <si>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</si>
  <si>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</si>
  <si>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</si>
  <si>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</si>
  <si>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</si>
  <si>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</si>
  <si>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</si>
  <si>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</si>
  <si>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</si>
  <si>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</si>
  <si>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</si>
  <si>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</si>
  <si>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</si>
  <si>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</si>
  <si>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</si>
  <si>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</si>
  <si>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</si>
  <si>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</si>
  <si>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</si>
  <si>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</si>
  <si>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</si>
  <si>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</si>
  <si>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</si>
  <si>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</si>
  <si>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</si>
  <si>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</si>
  <si>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</si>
  <si>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</si>
  <si>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</si>
  <si>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</si>
  <si>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</si>
  <si>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</si>
  <si>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</si>
  <si>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</si>
  <si>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</si>
  <si>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</si>
  <si>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</si>
  <si>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</si>
  <si>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</si>
  <si>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</si>
  <si>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</si>
  <si>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</si>
  <si>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</si>
  <si>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</si>
  <si>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</si>
  <si>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</si>
  <si>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</si>
  <si>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</si>
  <si>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</si>
  <si>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</si>
  <si>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</si>
  <si>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</si>
  <si>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</si>
  <si>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</si>
  <si>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</si>
  <si>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</si>
  <si>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</si>
  <si>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</si>
  <si>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</si>
  <si>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</si>
  <si>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</si>
  <si>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</si>
  <si>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</si>
  <si>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</si>
  <si>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</si>
  <si>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</si>
  <si>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</si>
  <si>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</si>
  <si>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</si>
  <si>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</si>
  <si>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</si>
  <si>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</si>
  <si>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</si>
  <si>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</si>
  <si>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</si>
  <si>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</si>
  <si>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</si>
  <si>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</si>
  <si>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</si>
  <si>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</si>
  <si>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</si>
  <si>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</si>
  <si>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</si>
  <si>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</si>
  <si>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</si>
  <si>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</si>
  <si>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</si>
  <si>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</si>
  <si>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</si>
  <si>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</si>
  <si>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</si>
  <si>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</si>
  <si>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</si>
  <si>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</si>
  <si>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</si>
  <si>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</si>
  <si>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</si>
  <si>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</si>
  <si>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</si>
  <si>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</si>
  <si>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</si>
  <si>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</si>
  <si>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</si>
  <si>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</si>
  <si>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</si>
  <si>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</si>
  <si>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</si>
  <si>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</si>
  <si>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</si>
  <si>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</si>
  <si>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</si>
  <si>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</si>
  <si>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</si>
  <si>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</si>
  <si>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</si>
  <si>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</si>
  <si>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</si>
  <si>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</si>
  <si>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</si>
  <si>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</si>
  <si>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</si>
  <si>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</si>
  <si>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</si>
  <si>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</si>
  <si>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</si>
  <si>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</si>
  <si>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</si>
  <si>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</si>
  <si>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</si>
  <si>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</si>
  <si>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</si>
  <si>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</si>
  <si>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</si>
  <si>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</si>
  <si>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</si>
  <si>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</si>
  <si>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</si>
  <si>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</si>
  <si>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</si>
  <si>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</si>
  <si>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</si>
  <si>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</si>
  <si>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</si>
  <si>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</si>
  <si>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</si>
  <si>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</si>
  <si>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</si>
  <si>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</si>
  <si>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</si>
  <si>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</si>
  <si>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</si>
  <si>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</si>
  <si>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</si>
  <si>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</si>
  <si>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</si>
  <si>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</si>
  <si>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</si>
  <si>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</si>
  <si>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</si>
  <si>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</si>
  <si>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</si>
  <si>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</si>
  <si>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</si>
  <si>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</si>
  <si>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</si>
  <si>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</si>
  <si>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</si>
  <si>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</si>
  <si>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</si>
  <si>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</si>
  <si>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</si>
  <si>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</si>
  <si>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</si>
  <si>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</si>
  <si>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</si>
  <si>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</si>
  <si>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</si>
  <si>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</si>
  <si>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</si>
  <si>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</si>
  <si>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</si>
  <si>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</si>
  <si>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</si>
  <si>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</si>
  <si>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</si>
  <si>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</si>
  <si>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</si>
  <si>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</si>
  <si>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</si>
  <si>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</si>
  <si>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</si>
  <si>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</si>
  <si>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</si>
  <si>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</si>
  <si>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</si>
  <si>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</si>
  <si>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</si>
  <si>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</si>
  <si>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</si>
  <si>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</si>
  <si>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</si>
  <si>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</si>
  <si>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</si>
  <si>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</si>
  <si>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</si>
  <si>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</si>
  <si>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</si>
  <si>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</si>
  <si>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</si>
  <si>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</si>
  <si>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</si>
  <si>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</si>
  <si>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</si>
  <si>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</si>
  <si>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</si>
  <si>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</si>
  <si>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</si>
  <si>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</si>
  <si>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</si>
  <si>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</si>
  <si>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</si>
  <si>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</si>
  <si>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</si>
  <si>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</si>
  <si>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</si>
  <si>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</si>
  <si>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</si>
  <si>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</si>
  <si>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</si>
  <si>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</si>
  <si>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</si>
  <si>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</si>
  <si>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</si>
  <si>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</si>
  <si>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</si>
  <si>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</si>
  <si>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</si>
  <si>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</si>
  <si>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</si>
  <si>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</si>
  <si>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</si>
  <si>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</si>
  <si>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</si>
  <si>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</si>
  <si>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</si>
  <si>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</si>
  <si>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</si>
  <si>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</si>
  <si>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</si>
  <si>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</si>
  <si>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</si>
  <si>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</si>
  <si>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</si>
  <si>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</si>
  <si>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</si>
  <si>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</si>
  <si>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</si>
  <si>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</si>
  <si>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</si>
  <si>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</si>
  <si>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</si>
  <si>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</si>
  <si>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</si>
  <si>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</si>
  <si>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</si>
  <si>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</si>
  <si>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</si>
  <si>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</si>
  <si>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</si>
  <si>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</si>
  <si>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</si>
  <si>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</si>
  <si>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</si>
  <si>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</si>
  <si>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</si>
  <si>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</si>
  <si>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</si>
  <si>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</si>
  <si>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</si>
  <si>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</si>
  <si>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</si>
  <si>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</si>
  <si>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</si>
  <si>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</si>
  <si>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</si>
  <si>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</si>
  <si>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</si>
  <si>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</si>
  <si>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</si>
  <si>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</si>
  <si>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</si>
  <si>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</si>
  <si>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</si>
  <si>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</si>
  <si>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</si>
  <si>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</si>
  <si>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</si>
  <si>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</si>
  <si>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</si>
  <si>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</si>
  <si>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</si>
  <si>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</si>
  <si>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</si>
  <si>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</si>
  <si>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</si>
  <si>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</si>
  <si>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</si>
  <si>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</si>
  <si>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</si>
  <si>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</si>
  <si>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</si>
  <si>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</si>
  <si>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</si>
  <si>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</si>
  <si>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</si>
  <si>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</si>
  <si>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</si>
  <si>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</si>
  <si>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</si>
  <si>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</si>
  <si>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</si>
  <si>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</si>
  <si>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</si>
  <si>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</si>
  <si>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</si>
  <si>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</si>
  <si>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</si>
  <si>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</si>
  <si>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</si>
  <si>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</si>
  <si>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</si>
  <si>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</si>
  <si>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</si>
  <si>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</si>
  <si>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</si>
  <si>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</si>
  <si>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</si>
  <si>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</si>
  <si>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</si>
  <si>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</si>
  <si>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</si>
  <si>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</si>
  <si>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</si>
  <si>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</si>
  <si>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</si>
  <si>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</si>
  <si>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</si>
  <si>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</si>
  <si>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</si>
  <si>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</si>
  <si>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</si>
  <si>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</si>
  <si>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</si>
  <si>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</si>
  <si>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</si>
  <si>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</si>
  <si>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</si>
  <si>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</si>
  <si>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</si>
  <si>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</si>
  <si>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</si>
  <si>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</si>
  <si>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</si>
  <si>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</si>
  <si>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</si>
  <si>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</si>
  <si>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</si>
  <si>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</si>
  <si>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</si>
  <si>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</si>
  <si>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</si>
  <si>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</si>
  <si>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</si>
  <si>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</si>
  <si>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</si>
  <si>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</si>
  <si>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</si>
  <si>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</si>
  <si>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</si>
  <si>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</si>
  <si>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</si>
  <si>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</si>
  <si>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</si>
  <si>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</si>
  <si>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</si>
  <si>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</si>
  <si>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</si>
  <si>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</si>
  <si>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</si>
  <si>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</si>
  <si>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</si>
  <si>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</si>
  <si>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</si>
  <si>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</si>
  <si>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</si>
  <si>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</si>
  <si>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</si>
  <si>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</si>
  <si>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</si>
  <si>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</si>
  <si>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</si>
  <si>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</si>
  <si>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</si>
  <si>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</si>
  <si>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</si>
  <si>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</si>
  <si>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</si>
  <si>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</si>
  <si>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</si>
  <si>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</si>
  <si>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</si>
  <si>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</si>
  <si>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</si>
  <si>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</si>
  <si>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</si>
  <si>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</si>
  <si>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</si>
  <si>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</si>
  <si>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</si>
  <si>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</si>
  <si>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</si>
  <si>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</si>
  <si>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</si>
  <si>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</si>
  <si>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</si>
  <si>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</si>
  <si>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</si>
  <si>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</si>
  <si>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</si>
  <si>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</si>
  <si>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</si>
  <si>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</si>
  <si>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</si>
  <si>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</si>
  <si>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</si>
  <si>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</si>
  <si>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</si>
  <si>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</si>
  <si>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</si>
  <si>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</si>
  <si>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</si>
  <si>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</si>
  <si>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</si>
  <si>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</si>
  <si>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</si>
  <si>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</si>
  <si>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</si>
  <si>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</si>
  <si>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</si>
  <si>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</si>
  <si>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</si>
  <si>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</si>
  <si>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</si>
  <si>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</si>
  <si>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</si>
  <si>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</si>
  <si>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</si>
  <si>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</si>
  <si>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</si>
  <si>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</si>
  <si>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</si>
  <si>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</si>
  <si>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</si>
  <si>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</si>
  <si>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</si>
  <si>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</si>
  <si>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</si>
  <si>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</si>
  <si>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</si>
  <si>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</si>
  <si>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</si>
  <si>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</si>
  <si>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</si>
  <si>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</si>
  <si>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</si>
  <si>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</si>
  <si>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</si>
  <si>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</si>
  <si>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</si>
  <si>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</si>
  <si>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</si>
  <si>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</si>
  <si>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</si>
  <si>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</si>
  <si>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</si>
  <si>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</si>
  <si>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</si>
  <si>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</si>
  <si>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</si>
  <si>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</si>
  <si>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</si>
  <si>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</si>
  <si>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</si>
  <si>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</si>
  <si>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</si>
  <si>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</si>
  <si>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</si>
  <si>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</si>
  <si>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</si>
  <si>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</si>
  <si>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</si>
  <si>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</si>
  <si>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</si>
  <si>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</si>
  <si>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</si>
  <si>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</si>
  <si>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</si>
  <si>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</si>
  <si>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</si>
  <si>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</si>
  <si>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</si>
  <si>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</si>
  <si>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</si>
  <si>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</si>
  <si>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</si>
  <si>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</si>
  <si>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</si>
  <si>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</si>
  <si>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</si>
  <si>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</si>
  <si>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</si>
  <si>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</si>
  <si>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</si>
  <si>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</si>
  <si>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</si>
  <si>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</si>
  <si>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</si>
  <si>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</si>
  <si>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</si>
  <si>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</si>
  <si>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</si>
  <si>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</si>
  <si>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</si>
  <si>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</si>
  <si>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</si>
  <si>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</si>
  <si>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</si>
  <si>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</si>
  <si>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</si>
  <si>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</si>
  <si>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</si>
  <si>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</si>
  <si>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</si>
  <si>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</si>
  <si>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</si>
  <si>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</si>
  <si>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</si>
  <si>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</si>
  <si>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</si>
  <si>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</si>
  <si>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</si>
  <si>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</si>
  <si>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</si>
  <si>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</si>
  <si>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</si>
  <si>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</si>
  <si>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</si>
  <si>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</si>
  <si>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</si>
  <si>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</si>
  <si>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</si>
  <si>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</si>
  <si>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</si>
  <si>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</si>
  <si>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</si>
  <si>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</si>
  <si>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</si>
  <si>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</si>
  <si>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</si>
  <si>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</si>
  <si>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</si>
  <si>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</si>
  <si>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</si>
  <si>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</si>
  <si>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</si>
  <si>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</si>
  <si>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</si>
  <si>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</si>
  <si>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</si>
  <si>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</si>
  <si>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</si>
  <si>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</si>
  <si>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</si>
  <si>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</si>
  <si>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</si>
  <si>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</si>
  <si>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</si>
  <si>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</si>
  <si>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</si>
  <si>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</si>
  <si>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</si>
  <si>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</si>
  <si>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</si>
  <si>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</si>
  <si>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</si>
  <si>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</si>
  <si>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</si>
  <si>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</si>
  <si>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</si>
  <si>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</si>
  <si>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</si>
  <si>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</si>
  <si>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</si>
  <si>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</si>
  <si>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</si>
  <si>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</si>
  <si>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</si>
  <si>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</si>
  <si>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</si>
  <si>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</si>
  <si>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</si>
  <si>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</si>
  <si>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</si>
  <si>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</si>
  <si>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</si>
  <si>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</si>
  <si>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</si>
  <si>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</si>
  <si>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</si>
  <si>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</si>
  <si>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</si>
  <si>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</si>
  <si>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</si>
  <si>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</si>
  <si>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</si>
  <si>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</si>
  <si>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</si>
  <si>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</si>
  <si>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</si>
  <si>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</si>
  <si>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</si>
  <si>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</si>
  <si>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</si>
  <si>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</si>
  <si>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</si>
  <si>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</si>
  <si>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</si>
  <si>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</si>
  <si>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</si>
  <si>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</si>
  <si>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</si>
  <si>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</si>
  <si>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</si>
  <si>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</si>
  <si>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</si>
  <si>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</si>
  <si>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</si>
  <si>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</si>
  <si>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</si>
  <si>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</si>
  <si>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</si>
  <si>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</si>
  <si>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</si>
  <si>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</si>
  <si>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</si>
  <si>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</si>
  <si>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</si>
  <si>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</si>
  <si>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</si>
  <si>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</si>
  <si>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</si>
  <si>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</si>
  <si>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</si>
  <si>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</si>
  <si>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</si>
  <si>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</si>
  <si>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</si>
  <si>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</si>
  <si>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</si>
  <si>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</si>
  <si>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</si>
  <si>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</si>
  <si>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</si>
  <si>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</si>
  <si>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</si>
  <si>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</si>
  <si>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</si>
  <si>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</si>
  <si>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</si>
  <si>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</si>
  <si>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</si>
  <si>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</si>
  <si>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</si>
  <si>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</si>
  <si>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</si>
  <si>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</si>
  <si>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</si>
  <si>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</si>
  <si>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</si>
  <si>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</si>
  <si>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</si>
  <si>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</si>
  <si>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</si>
  <si>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</si>
  <si>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</si>
  <si>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</si>
  <si>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</si>
  <si>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</si>
  <si>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</si>
  <si>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</si>
  <si>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</si>
  <si>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</si>
  <si>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</si>
  <si>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</si>
  <si>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</si>
  <si>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</si>
  <si>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</si>
  <si>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</si>
  <si>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</si>
  <si>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</si>
  <si>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</si>
  <si>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</si>
  <si>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</si>
  <si>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</si>
  <si>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</si>
  <si>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</si>
  <si>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</si>
  <si>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</si>
  <si>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</si>
  <si>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</si>
  <si>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</si>
  <si>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</si>
  <si>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</si>
  <si>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</si>
  <si>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</si>
  <si>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</si>
  <si>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</si>
  <si>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</si>
  <si>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</si>
  <si>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</si>
  <si>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</si>
  <si>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</si>
  <si>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</si>
  <si>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</si>
  <si>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</si>
  <si>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</si>
  <si>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</si>
  <si>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</si>
  <si>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</si>
  <si>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</si>
  <si>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</si>
  <si>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</si>
  <si>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</si>
  <si>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</si>
  <si>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</si>
  <si>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</si>
  <si>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</si>
  <si>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</si>
  <si>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</si>
  <si>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</si>
  <si>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</si>
  <si>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</si>
  <si>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</si>
  <si>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</si>
  <si>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</si>
  <si>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</si>
  <si>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</si>
  <si>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</si>
  <si>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</si>
  <si>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</si>
  <si>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</si>
  <si>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</si>
  <si>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</si>
  <si>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</si>
  <si>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</si>
  <si>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</si>
  <si>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</si>
  <si>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</si>
  <si>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</si>
  <si>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</si>
  <si>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</si>
  <si>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</si>
  <si>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</si>
  <si>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</si>
  <si>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</si>
  <si>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</si>
  <si>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</si>
  <si>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</si>
  <si>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</si>
  <si>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</si>
  <si>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</si>
  <si>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</si>
  <si>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</si>
  <si>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</si>
  <si>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</si>
  <si>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</si>
  <si>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</si>
  <si>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</si>
  <si>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</si>
  <si>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</si>
  <si>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</si>
  <si>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</si>
  <si>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</si>
  <si>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</si>
  <si>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</si>
  <si>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</si>
  <si>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</si>
  <si>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</si>
  <si>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</si>
  <si>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</si>
  <si>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</si>
  <si>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</si>
  <si>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</si>
  <si>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</si>
  <si>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</si>
  <si>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</si>
  <si>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</si>
  <si>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</si>
  <si>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</si>
  <si>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</si>
  <si>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</si>
  <si>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</si>
  <si>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</si>
  <si>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</si>
  <si>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</si>
  <si>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</si>
  <si>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</si>
  <si>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</si>
  <si>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</si>
  <si>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</si>
  <si>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</si>
  <si>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</si>
  <si>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</si>
  <si>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</si>
  <si>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</si>
  <si>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</si>
  <si>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</si>
  <si>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</si>
  <si>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</si>
  <si>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</si>
  <si>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</si>
  <si>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</si>
  <si>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</si>
  <si>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</si>
  <si>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</si>
  <si>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</si>
  <si>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</si>
  <si>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</si>
  <si>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</si>
  <si>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</si>
  <si>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</si>
  <si>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</si>
  <si>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</si>
  <si>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</si>
  <si>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</si>
  <si>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</si>
  <si>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</si>
  <si>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</si>
  <si>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</si>
  <si>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</si>
  <si>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</si>
  <si>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</si>
  <si>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</si>
  <si>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</si>
  <si>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</si>
  <si>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</si>
  <si>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</si>
  <si>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</si>
  <si>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</si>
  <si>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</si>
  <si>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</si>
  <si>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</si>
  <si>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</si>
  <si>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</si>
  <si>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</si>
  <si>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</si>
  <si>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</si>
  <si>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</si>
  <si>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</si>
  <si>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</si>
  <si>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</si>
  <si>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</si>
  <si>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</si>
  <si>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</si>
  <si>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</si>
  <si>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</si>
  <si>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</si>
  <si>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</si>
  <si>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</si>
  <si>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</si>
  <si>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</si>
  <si>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</si>
  <si>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</si>
  <si>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</si>
  <si>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</si>
  <si>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</si>
  <si>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</si>
  <si>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</si>
  <si>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</si>
  <si>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</si>
  <si>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</si>
  <si>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</si>
  <si>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</si>
  <si>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</si>
  <si>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</si>
  <si>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</si>
  <si>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</si>
  <si>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</si>
  <si>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</si>
  <si>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</si>
  <si>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</si>
  <si>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</si>
  <si>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</si>
  <si>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</si>
  <si>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</si>
  <si>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</si>
  <si>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</si>
  <si>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</si>
  <si>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</si>
  <si>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</si>
  <si>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</si>
  <si>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</si>
  <si>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</si>
  <si>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</si>
  <si>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</si>
  <si>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</si>
  <si>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</si>
  <si>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</si>
  <si>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</si>
  <si>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</si>
  <si>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</si>
  <si>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</si>
  <si>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</si>
  <si>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</si>
  <si>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</si>
  <si>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</si>
  <si>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</si>
  <si>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</si>
  <si>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</si>
  <si>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</si>
  <si>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</si>
  <si>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</si>
  <si>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</si>
  <si>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</si>
  <si>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</si>
  <si>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</si>
  <si>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</si>
  <si>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</si>
  <si>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</si>
  <si>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</si>
  <si>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</si>
  <si>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</si>
  <si>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</si>
  <si>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</si>
  <si>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</si>
  <si>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</si>
  <si>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</si>
  <si>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</si>
  <si>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</si>
  <si>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</si>
  <si>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</si>
  <si>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</si>
  <si>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</si>
  <si>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</si>
  <si>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</si>
  <si>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</si>
  <si>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</si>
  <si>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</si>
  <si>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</si>
  <si>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</si>
  <si>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</si>
  <si>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</si>
  <si>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</si>
  <si>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</si>
  <si>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</si>
  <si>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</si>
  <si>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</si>
  <si>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</si>
  <si>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</si>
  <si>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</si>
  <si>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</si>
  <si>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</si>
  <si>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</si>
  <si>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</si>
  <si>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</si>
  <si>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</si>
  <si>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</si>
  <si>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</si>
  <si>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</si>
  <si>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</si>
  <si>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</si>
  <si>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</si>
  <si>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</si>
  <si>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</si>
  <si>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</si>
  <si>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</si>
  <si>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</si>
  <si>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</si>
  <si>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</si>
  <si>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</si>
  <si>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</si>
  <si>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</si>
  <si>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</si>
  <si>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</si>
  <si>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</si>
  <si>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</si>
  <si>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</si>
  <si>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</si>
  <si>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</si>
  <si>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</si>
  <si>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</si>
  <si>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</si>
  <si>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</si>
  <si>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</si>
  <si>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</si>
  <si>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</si>
  <si>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</si>
  <si>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</si>
  <si>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</si>
  <si>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</si>
  <si>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</si>
  <si>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</si>
  <si>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</si>
  <si>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</si>
  <si>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</si>
  <si>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</si>
  <si>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</si>
  <si>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</si>
  <si>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</si>
  <si>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</si>
  <si>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</si>
  <si>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</si>
  <si>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</si>
  <si>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</si>
  <si>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</si>
  <si>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</si>
  <si>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</si>
  <si>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</si>
  <si>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</si>
  <si>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</si>
  <si>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</si>
  <si>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</si>
  <si>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</si>
  <si>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</si>
  <si>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</si>
  <si>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</si>
  <si>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</si>
  <si>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</si>
  <si>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</si>
  <si>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</si>
  <si>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</si>
  <si>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</si>
  <si>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</si>
  <si>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</si>
  <si>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</si>
  <si>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</si>
  <si>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</si>
  <si>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</si>
  <si>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</si>
  <si>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</si>
  <si>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</si>
  <si>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</si>
  <si>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</si>
  <si>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</si>
  <si>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</si>
  <si>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</si>
  <si>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</si>
  <si>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</si>
  <si>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</si>
  <si>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</si>
  <si>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</si>
  <si>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</si>
  <si>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</si>
  <si>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</si>
  <si>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</si>
  <si>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</si>
  <si>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</si>
  <si>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</si>
  <si>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</si>
  <si>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</si>
  <si>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</si>
  <si>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</si>
  <si>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</si>
  <si>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</si>
  <si>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</si>
  <si>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</si>
  <si>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</si>
  <si>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</si>
  <si>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</si>
  <si>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</si>
  <si>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</si>
  <si>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</si>
  <si>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</si>
  <si>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</si>
  <si>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</si>
  <si>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</si>
  <si>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</si>
  <si>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</si>
  <si>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</si>
  <si>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</si>
  <si>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</si>
  <si>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</si>
  <si>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</si>
  <si>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</si>
  <si>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</si>
  <si>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</si>
  <si>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</si>
  <si>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</si>
  <si>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</si>
  <si>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</si>
  <si>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</si>
  <si>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</si>
  <si>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</si>
  <si>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</si>
  <si>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</si>
  <si>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</si>
  <si>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</si>
  <si>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</si>
  <si>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</si>
  <si>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</si>
  <si>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</si>
  <si>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</si>
  <si>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</si>
  <si>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</si>
  <si>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</si>
  <si>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</si>
  <si>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</si>
  <si>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</si>
  <si>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</si>
  <si>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</si>
  <si>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</si>
  <si>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</si>
  <si>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</si>
  <si>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</si>
  <si>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</si>
  <si>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</si>
  <si>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</si>
  <si>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</si>
  <si>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</si>
  <si>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</si>
  <si>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</si>
  <si>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</si>
  <si>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</si>
  <si>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</si>
  <si>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</si>
  <si>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</si>
  <si>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</si>
  <si>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</si>
  <si>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</si>
  <si>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</si>
  <si>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</si>
  <si>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</si>
  <si>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</si>
  <si>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</si>
  <si>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</si>
  <si>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</si>
  <si>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</si>
  <si>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</si>
  <si>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</si>
  <si>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</si>
  <si>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</si>
  <si>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</si>
  <si>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</si>
  <si>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</si>
  <si>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</si>
  <si>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</si>
  <si>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</si>
  <si>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</si>
  <si>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</si>
  <si>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</si>
  <si>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</si>
  <si>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</si>
  <si>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</si>
  <si>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</si>
  <si>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</si>
  <si>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</si>
  <si>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</si>
  <si>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</si>
  <si>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</si>
  <si>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</si>
  <si>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</si>
  <si>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</si>
  <si>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</si>
  <si>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</si>
  <si>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</si>
  <si>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</si>
  <si>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</si>
  <si>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</si>
  <si>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</si>
  <si>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</si>
  <si>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</si>
  <si>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</si>
  <si>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</si>
  <si>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</si>
  <si>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</si>
  <si>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</si>
  <si>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</si>
  <si>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</si>
  <si>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</si>
  <si>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</si>
  <si>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</si>
  <si>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</si>
  <si>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</si>
  <si>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</si>
  <si>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</si>
  <si>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</si>
  <si>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</si>
  <si>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</si>
  <si>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</si>
  <si>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</si>
  <si>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</si>
  <si>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</si>
  <si>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</si>
  <si>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</si>
  <si>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</si>
  <si>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</si>
  <si>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</si>
  <si>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</si>
  <si>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</si>
  <si>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</si>
  <si>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</si>
  <si>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</si>
  <si>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</si>
  <si>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</si>
  <si>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</si>
  <si>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</si>
  <si>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</si>
  <si>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</si>
  <si>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</si>
  <si>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</si>
  <si>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</si>
  <si>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</si>
  <si>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</si>
  <si>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</si>
  <si>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</si>
  <si>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</si>
  <si>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</si>
  <si>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</si>
  <si>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</si>
  <si>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</si>
  <si>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</si>
  <si>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</si>
  <si>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</si>
  <si>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</si>
  <si>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</si>
  <si>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</si>
  <si>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</si>
  <si>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</si>
  <si>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</si>
  <si>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</si>
  <si>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</si>
  <si>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</si>
  <si>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</si>
  <si>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</si>
  <si>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</si>
  <si>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</si>
  <si>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</si>
  <si>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</si>
  <si>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</si>
  <si>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</si>
  <si>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</si>
  <si>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</si>
  <si>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</si>
  <si>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</si>
  <si>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</si>
  <si>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</si>
  <si>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</si>
  <si>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</si>
  <si>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</si>
  <si>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</si>
  <si>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</si>
  <si>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</si>
  <si>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</si>
  <si>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</si>
  <si>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</si>
  <si>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</si>
  <si>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</si>
  <si>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</si>
  <si>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</si>
  <si>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</si>
  <si>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</si>
  <si>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</si>
  <si>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</si>
  <si>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</si>
  <si>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</si>
  <si>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</si>
  <si>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</si>
  <si>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</si>
  <si>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</si>
  <si>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</si>
  <si>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</si>
  <si>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</si>
  <si>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</si>
  <si>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</si>
  <si>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</si>
  <si>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</si>
  <si>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</si>
  <si>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</si>
  <si>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</si>
  <si>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</si>
  <si>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</si>
  <si>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</si>
  <si>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</si>
  <si>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</si>
  <si>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</si>
  <si>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</si>
  <si>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</si>
  <si>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</si>
  <si>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</si>
  <si>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</si>
  <si>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</si>
  <si>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</si>
  <si>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</si>
  <si>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</si>
  <si>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</si>
  <si>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</si>
  <si>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</si>
  <si>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</si>
  <si>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</si>
  <si>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</si>
  <si>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</si>
  <si>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</si>
  <si>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</si>
  <si>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</si>
  <si>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</si>
  <si>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</si>
  <si>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</si>
  <si>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</si>
  <si>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</si>
  <si>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</si>
  <si>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</si>
  <si>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</si>
  <si>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</si>
  <si>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</si>
  <si>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</si>
  <si>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</si>
  <si>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</si>
  <si>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</si>
  <si>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</si>
  <si>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</si>
  <si>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</si>
  <si>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</si>
  <si>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</si>
  <si>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</si>
  <si>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</si>
  <si>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</si>
  <si>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</si>
  <si>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</si>
  <si>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</si>
  <si>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</si>
  <si>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</si>
  <si>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</si>
  <si>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</si>
  <si>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</si>
  <si>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</si>
  <si>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</si>
  <si>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</si>
  <si>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</si>
  <si>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</si>
  <si>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</si>
  <si>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</si>
  <si>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</si>
  <si>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</si>
  <si>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</si>
  <si>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</si>
  <si>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</si>
  <si>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</si>
  <si>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</si>
  <si>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</si>
  <si>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</si>
  <si>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</si>
  <si>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</si>
  <si>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</si>
  <si>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</si>
  <si>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</si>
  <si>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</si>
  <si>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</si>
  <si>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</si>
  <si>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</si>
  <si>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</si>
  <si>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</si>
  <si>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</si>
  <si>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</si>
  <si>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</si>
  <si>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</si>
  <si>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</si>
  <si>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</si>
  <si>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</si>
  <si>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</si>
  <si>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</si>
  <si>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</si>
  <si>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</si>
  <si>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</si>
  <si>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</si>
  <si>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</si>
  <si>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</si>
  <si>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</si>
  <si>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</si>
  <si>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</si>
  <si>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</si>
  <si>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</si>
  <si>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</si>
  <si>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</si>
  <si>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</si>
  <si>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</si>
  <si>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</si>
  <si>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</si>
  <si>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</si>
  <si>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</si>
  <si>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</si>
  <si>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</si>
  <si>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</si>
  <si>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</si>
  <si>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</si>
  <si>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</si>
  <si>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</si>
  <si>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</si>
  <si>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</si>
  <si>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</si>
  <si>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</si>
  <si>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</si>
  <si>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</si>
  <si>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</si>
  <si>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</si>
  <si>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</si>
  <si>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</si>
  <si>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</si>
  <si>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</si>
  <si>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</si>
  <si>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</si>
  <si>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</si>
  <si>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</si>
  <si>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</si>
  <si>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</si>
  <si>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</si>
  <si>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</si>
  <si>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</si>
  <si>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</si>
  <si>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</si>
  <si>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</si>
  <si>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</si>
  <si>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</si>
  <si>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</si>
  <si>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</si>
  <si>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</si>
  <si>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</si>
  <si>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</si>
  <si>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</si>
  <si>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</si>
  <si>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</si>
  <si>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</si>
  <si>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</si>
  <si>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</si>
  <si>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</si>
  <si>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</si>
  <si>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</si>
  <si>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</si>
  <si>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</si>
  <si>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</si>
  <si>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</si>
  <si>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</si>
  <si>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</si>
  <si>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</si>
  <si>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</si>
  <si>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</si>
  <si>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</si>
  <si>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</si>
  <si>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</si>
  <si>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</si>
  <si>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</si>
  <si>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</si>
  <si>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</si>
  <si>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</si>
  <si>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</si>
  <si>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</si>
  <si>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</si>
  <si>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</si>
  <si>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</si>
  <si>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</si>
  <si>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</si>
  <si>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</si>
  <si>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</si>
  <si>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</si>
  <si>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</si>
  <si>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</si>
  <si>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</si>
  <si>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</si>
  <si>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</si>
  <si>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</si>
  <si>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</si>
  <si>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</si>
  <si>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</si>
  <si>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</si>
  <si>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</si>
  <si>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</si>
  <si>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</si>
  <si>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</si>
  <si>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</si>
  <si>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</si>
  <si>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</si>
  <si>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</si>
  <si>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</si>
  <si>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</si>
  <si>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</si>
  <si>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</si>
  <si>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</si>
  <si>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</si>
  <si>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</si>
  <si>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</si>
  <si>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</si>
  <si>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</si>
  <si>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</si>
  <si>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</si>
  <si>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</si>
  <si>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</si>
  <si>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</si>
  <si>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</si>
  <si>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</si>
  <si>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</si>
  <si>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</si>
  <si>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</si>
  <si>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</si>
  <si>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</si>
  <si>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</si>
  <si>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</si>
  <si>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</si>
  <si>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</si>
  <si>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</si>
  <si>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</si>
  <si>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</si>
  <si>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</si>
  <si>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</si>
  <si>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</si>
  <si>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</si>
  <si>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</si>
  <si>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</si>
  <si>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</si>
  <si>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</si>
  <si>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</si>
  <si>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</si>
  <si>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</si>
  <si>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</si>
  <si>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</si>
  <si>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</si>
  <si>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</si>
  <si>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</si>
  <si>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</si>
  <si>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</si>
  <si>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</si>
  <si>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</si>
  <si>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</si>
  <si>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</si>
  <si>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</si>
  <si>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</si>
  <si>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</si>
  <si>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</si>
  <si>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</si>
  <si>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</si>
  <si>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</si>
  <si>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</si>
  <si>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</si>
  <si>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</si>
  <si>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</si>
  <si>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</si>
  <si>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</si>
  <si>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</si>
  <si>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</si>
  <si>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</si>
  <si>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</si>
  <si>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</si>
  <si>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</si>
  <si>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</si>
  <si>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</si>
  <si>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</si>
  <si>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</si>
  <si>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</si>
  <si>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</si>
  <si>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</si>
  <si>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</si>
  <si>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</si>
  <si>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</si>
  <si>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</si>
  <si>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</si>
  <si>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</si>
  <si>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</si>
  <si>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</si>
  <si>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</si>
  <si>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</si>
  <si>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</si>
  <si>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</si>
  <si>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</si>
  <si>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</si>
  <si>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</si>
  <si>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</si>
  <si>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</si>
  <si>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</si>
  <si>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</si>
  <si>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</si>
  <si>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</si>
  <si>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</si>
  <si>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</si>
  <si>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</si>
  <si>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</si>
  <si>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</si>
  <si>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</si>
  <si>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</si>
  <si>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</si>
  <si>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</si>
  <si>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</si>
  <si>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</si>
  <si>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</si>
  <si>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</si>
  <si>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</si>
  <si>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</si>
  <si>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</si>
  <si>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</si>
  <si>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</si>
  <si>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</si>
  <si>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</si>
  <si>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</si>
  <si>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</si>
  <si>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</si>
  <si>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</si>
  <si>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</si>
  <si>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</si>
  <si>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</si>
  <si>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</si>
  <si>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</si>
  <si>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</si>
  <si>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</si>
  <si>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</si>
  <si>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</si>
  <si>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</si>
  <si>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</si>
  <si>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</si>
  <si>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</si>
  <si>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</si>
  <si>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</si>
  <si>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</si>
  <si>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</si>
  <si>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</si>
  <si>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</si>
  <si>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</si>
  <si>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</si>
  <si>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</si>
  <si>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</si>
  <si>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</si>
  <si>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</si>
  <si>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</si>
  <si>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</si>
  <si>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</si>
  <si>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</si>
  <si>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</si>
  <si>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</si>
  <si>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</si>
  <si>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</si>
  <si>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</si>
  <si>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</si>
  <si>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</si>
  <si>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</si>
  <si>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</si>
  <si>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</si>
  <si>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</si>
  <si>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</si>
  <si>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</si>
  <si>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</si>
  <si>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</si>
  <si>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</si>
  <si>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</si>
  <si>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</si>
  <si>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</si>
  <si>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</si>
  <si>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</si>
  <si>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</si>
  <si>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</si>
  <si>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</si>
  <si>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</si>
  <si>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</si>
  <si>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</si>
  <si>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</si>
  <si>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</si>
  <si>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</si>
  <si>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</si>
  <si>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</si>
  <si>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</si>
  <si>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</si>
  <si>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</si>
  <si>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</si>
  <si>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</si>
  <si>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</si>
  <si>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</si>
  <si>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</si>
  <si>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</si>
  <si>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</si>
  <si>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</si>
  <si>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</si>
  <si>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</si>
  <si>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</si>
  <si>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</si>
  <si>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</si>
  <si>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</si>
  <si>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</si>
  <si>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</si>
  <si>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</si>
  <si>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</si>
  <si>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</si>
  <si>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</si>
  <si>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</si>
  <si>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</si>
  <si>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</si>
  <si>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</si>
  <si>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</si>
  <si>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</si>
  <si>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</si>
  <si>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</si>
  <si>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</si>
  <si>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</si>
  <si>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</si>
  <si>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</si>
  <si>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</si>
  <si>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</si>
  <si>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</si>
  <si>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</si>
  <si>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</si>
  <si>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</si>
  <si>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</si>
  <si>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</si>
  <si>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</si>
  <si>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</si>
  <si>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</si>
  <si>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</si>
  <si>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</si>
  <si>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</si>
  <si>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</si>
  <si>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</si>
  <si>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</si>
  <si>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</si>
  <si>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</si>
  <si>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</si>
  <si>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</si>
  <si>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</si>
  <si>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</si>
  <si>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</si>
  <si>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</si>
  <si>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</si>
  <si>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</si>
  <si>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</si>
  <si>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</si>
  <si>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</si>
  <si>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</si>
  <si>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</si>
  <si>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</si>
  <si>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</si>
  <si>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</si>
  <si>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</si>
  <si>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</si>
  <si>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</si>
  <si>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</si>
  <si>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</si>
  <si>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</si>
  <si>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</si>
  <si>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</si>
  <si>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</si>
  <si>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</si>
  <si>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</si>
  <si>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</si>
  <si>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</si>
  <si>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</si>
  <si>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</si>
  <si>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</si>
  <si>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</si>
  <si>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</si>
  <si>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</si>
  <si>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</si>
  <si>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</si>
  <si>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</si>
  <si>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</si>
  <si>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</si>
  <si>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</si>
  <si>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</si>
  <si>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</si>
  <si>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</si>
  <si>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</si>
  <si>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</si>
  <si>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</si>
  <si>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</si>
  <si>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</si>
  <si>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</si>
  <si>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</si>
  <si>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</si>
  <si>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</si>
  <si>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</si>
  <si>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</si>
  <si>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</si>
  <si>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</si>
  <si>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</si>
  <si>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</si>
  <si>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</si>
  <si>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</si>
  <si>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</si>
  <si>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</si>
  <si>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</si>
  <si>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</si>
  <si>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</si>
  <si>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</si>
  <si>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</si>
  <si>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</si>
  <si>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</si>
  <si>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</si>
  <si>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</si>
  <si>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</si>
  <si>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</si>
  <si>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</si>
  <si>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</si>
  <si>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</si>
  <si>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</si>
  <si>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</si>
  <si>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</si>
  <si>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</si>
  <si>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</si>
  <si>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</si>
  <si>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</si>
  <si>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</si>
  <si>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</si>
  <si>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</si>
  <si>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</si>
  <si>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</si>
  <si>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</si>
  <si>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</si>
  <si>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</si>
  <si>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</si>
  <si>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</si>
  <si>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</si>
  <si>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</si>
  <si>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</si>
  <si>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</si>
  <si>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</si>
  <si>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</si>
  <si>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</si>
  <si>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</si>
  <si>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</si>
  <si>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</si>
  <si>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</si>
  <si>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</si>
  <si>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</si>
  <si>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</si>
  <si>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</si>
  <si>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</si>
  <si>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</si>
  <si>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</si>
  <si>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</si>
  <si>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</si>
  <si>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</si>
  <si>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</si>
  <si>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</si>
  <si>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</si>
  <si>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</si>
  <si>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</si>
  <si>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</si>
  <si>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</si>
  <si>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</si>
  <si>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</si>
  <si>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</si>
  <si>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</si>
  <si>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</si>
  <si>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</si>
  <si>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</si>
  <si>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</si>
  <si>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</si>
  <si>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</si>
  <si>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</si>
  <si>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</si>
  <si>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</si>
  <si>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</si>
  <si>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</si>
  <si>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</si>
  <si>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</si>
  <si>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</si>
  <si>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</si>
  <si>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</si>
  <si>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</si>
  <si>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</si>
  <si>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</si>
  <si>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</si>
  <si>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</si>
  <si>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</si>
  <si>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</si>
  <si>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</si>
  <si>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</si>
  <si>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</si>
  <si>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</si>
  <si>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</si>
  <si>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</si>
  <si>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</si>
  <si>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</si>
  <si>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</si>
  <si>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</si>
  <si>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</si>
  <si>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</si>
  <si>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</si>
  <si>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</si>
  <si>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</si>
  <si>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</si>
  <si>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</si>
  <si>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</si>
  <si>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</si>
  <si>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</si>
  <si>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</si>
  <si>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</si>
  <si>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</si>
  <si>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</si>
  <si>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</si>
  <si>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</si>
  <si>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</si>
  <si>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</si>
  <si>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</si>
  <si>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</si>
  <si>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</si>
  <si>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</si>
  <si>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</si>
  <si>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</si>
  <si>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</si>
  <si>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</si>
  <si>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</si>
  <si>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</si>
  <si>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</si>
  <si>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</si>
  <si>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</si>
  <si>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</si>
  <si>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</si>
  <si>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</si>
  <si>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</si>
  <si>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</si>
  <si>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</si>
  <si>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</si>
  <si>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</si>
  <si>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</si>
  <si>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</si>
  <si>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</si>
  <si>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</si>
  <si>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</si>
  <si>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</si>
  <si>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</si>
  <si>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</si>
  <si>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</si>
  <si>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</si>
  <si>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</si>
  <si>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</si>
  <si>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</si>
  <si>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</si>
  <si>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</si>
  <si>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</si>
  <si>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</si>
  <si>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</si>
  <si>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</si>
  <si>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</si>
  <si>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</si>
  <si>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</si>
  <si>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</si>
  <si>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</si>
  <si>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</si>
  <si>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</si>
  <si>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</si>
  <si>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</si>
  <si>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</si>
  <si>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</si>
  <si>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</si>
  <si>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</si>
  <si>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</si>
  <si>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</si>
  <si>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</si>
  <si>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</si>
  <si>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</si>
  <si>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</si>
  <si>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</si>
  <si>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</si>
  <si>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</si>
  <si>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</si>
  <si>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</si>
  <si>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</si>
  <si>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</si>
  <si>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</si>
  <si>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</si>
  <si>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</si>
  <si>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</si>
  <si>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</si>
  <si>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</si>
  <si>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</si>
  <si>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</si>
  <si>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</si>
  <si>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</si>
  <si>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</si>
  <si>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</si>
  <si>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</si>
  <si>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</si>
  <si>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</si>
  <si>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</si>
  <si>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</si>
  <si>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</si>
  <si>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</si>
  <si>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</si>
  <si>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</si>
  <si>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</si>
  <si>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</si>
  <si>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</si>
  <si>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</si>
  <si>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</si>
  <si>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</si>
  <si>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</si>
  <si>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</si>
  <si>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</si>
  <si>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</si>
  <si>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</si>
  <si>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</si>
  <si>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</si>
  <si>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</si>
  <si>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</si>
  <si>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</si>
  <si>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</si>
  <si>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</si>
  <si>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</si>
  <si>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</si>
  <si>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</si>
  <si>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</si>
  <si>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</si>
  <si>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</si>
  <si>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</si>
  <si>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</si>
  <si>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</si>
  <si>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</si>
  <si>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</si>
  <si>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</si>
  <si>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</si>
  <si>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</si>
  <si>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</si>
  <si>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</si>
  <si>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</si>
  <si>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</si>
  <si>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</si>
  <si>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</si>
  <si>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</si>
  <si>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</si>
  <si>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</si>
  <si>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</si>
  <si>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</si>
  <si>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</si>
  <si>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</si>
  <si>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</si>
  <si>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</si>
  <si>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</si>
  <si>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</si>
  <si>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</si>
  <si>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</si>
  <si>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</si>
  <si>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</si>
  <si>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</si>
  <si>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</si>
  <si>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</si>
  <si>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</si>
  <si>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</si>
  <si>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</si>
  <si>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</si>
  <si>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</si>
  <si>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</si>
  <si>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</si>
  <si>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</si>
  <si>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</si>
  <si>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</si>
  <si>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</si>
  <si>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</si>
  <si>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</si>
  <si>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</si>
  <si>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</si>
  <si>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</si>
  <si>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</si>
  <si>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</si>
  <si>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</si>
  <si>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</si>
  <si>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</si>
  <si>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</si>
  <si>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</si>
  <si>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</si>
  <si>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</si>
  <si>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</si>
  <si>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</si>
  <si>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</si>
  <si>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</si>
  <si>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</si>
  <si>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</si>
  <si>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</si>
  <si>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</si>
  <si>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</si>
  <si>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</si>
  <si>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</si>
  <si>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</si>
  <si>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</si>
  <si>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</si>
  <si>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</si>
  <si>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</si>
  <si>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</si>
  <si>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</si>
  <si>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</si>
  <si>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</si>
  <si>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</si>
  <si>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</si>
  <si>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</si>
  <si>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</si>
  <si>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</si>
  <si>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</si>
  <si>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</si>
  <si>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</si>
  <si>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</si>
  <si>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</si>
  <si>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</si>
  <si>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</si>
  <si>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</si>
  <si>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</si>
  <si>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</si>
  <si>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</si>
  <si>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</si>
  <si>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</si>
  <si>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</si>
  <si>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</si>
  <si>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</si>
  <si>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</si>
  <si>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</si>
  <si>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</si>
  <si>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</si>
  <si>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</si>
  <si>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</si>
  <si>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</si>
  <si>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</si>
  <si>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</si>
  <si>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</si>
  <si>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</si>
  <si>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</si>
  <si>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</si>
  <si>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</si>
  <si>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</si>
  <si>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</si>
  <si>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</si>
  <si>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</si>
  <si>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</si>
  <si>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</si>
  <si>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</si>
  <si>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</si>
  <si>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</si>
  <si>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</si>
  <si>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</si>
  <si>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</si>
  <si>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</si>
  <si>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</si>
  <si>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</si>
  <si>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</si>
  <si>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</si>
  <si>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</si>
  <si>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</si>
  <si>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</si>
  <si>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</si>
  <si>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</si>
  <si>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</si>
  <si>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</si>
  <si>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</si>
  <si>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</si>
  <si>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</si>
  <si>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</si>
  <si>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</si>
  <si>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</si>
  <si>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</si>
  <si>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</si>
  <si>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</si>
  <si>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</si>
  <si>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</si>
  <si>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</si>
  <si>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</si>
  <si>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</si>
  <si>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</si>
  <si>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</si>
  <si>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</si>
  <si>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</si>
  <si>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</si>
  <si>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</si>
  <si>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</si>
  <si>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</si>
  <si>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</si>
  <si>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</si>
  <si>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</si>
  <si>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</si>
  <si>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</si>
  <si>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</si>
  <si>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</si>
  <si>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</si>
  <si>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</si>
  <si>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</si>
  <si>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</si>
  <si>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</si>
  <si>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</si>
  <si>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</si>
  <si>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</si>
  <si>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</si>
  <si>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</si>
  <si>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</si>
  <si>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</si>
  <si>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</si>
  <si>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</si>
  <si>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</si>
  <si>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</si>
  <si>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</si>
  <si>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</si>
  <si>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</si>
  <si>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</si>
  <si>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</si>
  <si>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</si>
  <si>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</si>
  <si>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</si>
  <si>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</si>
  <si>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</si>
  <si>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</si>
  <si>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</si>
  <si>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</si>
  <si>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</si>
  <si>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</si>
  <si>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</si>
  <si>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</si>
  <si>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</si>
  <si>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</si>
  <si>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</si>
  <si>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</si>
  <si>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</si>
  <si>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</si>
  <si>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</si>
  <si>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</si>
  <si>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</si>
  <si>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</si>
  <si>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</si>
  <si>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</si>
  <si>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</si>
  <si>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</si>
  <si>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</si>
  <si>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</si>
  <si>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</si>
  <si>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</si>
  <si>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</si>
  <si>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</si>
  <si>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</si>
  <si>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</si>
  <si>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</si>
  <si>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</si>
  <si>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</si>
  <si>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</si>
  <si>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</si>
  <si>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</si>
  <si>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</si>
  <si>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</si>
  <si>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</si>
  <si>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</si>
  <si>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</si>
  <si>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</si>
  <si>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</si>
  <si>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</si>
  <si>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</si>
  <si>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</si>
  <si>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</si>
  <si>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</si>
  <si>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</si>
  <si>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</si>
  <si>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</si>
  <si>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</si>
  <si>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</si>
  <si>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</si>
  <si>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</si>
  <si>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</si>
  <si>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</si>
  <si>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</si>
  <si>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</si>
  <si>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</si>
  <si>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</si>
  <si>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</si>
  <si>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</si>
  <si>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</si>
  <si>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</si>
  <si>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</si>
  <si>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</si>
  <si>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</si>
  <si>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</si>
  <si>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</si>
  <si>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</si>
  <si>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</si>
  <si>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</si>
  <si>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</si>
  <si>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</si>
  <si>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</si>
  <si>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</si>
  <si>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</si>
  <si>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</si>
  <si>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</si>
  <si>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</si>
  <si>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</si>
  <si>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</si>
  <si>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</si>
  <si>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</si>
  <si>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</si>
  <si>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</si>
  <si>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</si>
  <si>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</si>
  <si>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</si>
  <si>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</si>
  <si>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</si>
  <si>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</si>
  <si>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</si>
  <si>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</si>
  <si>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</si>
  <si>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</si>
  <si>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</si>
  <si>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</si>
  <si>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</si>
  <si>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</si>
  <si>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</si>
  <si>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</si>
  <si>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</si>
  <si>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</si>
  <si>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</si>
  <si>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</si>
  <si>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</si>
  <si>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</si>
  <si>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</si>
  <si>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</si>
  <si>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</si>
  <si>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</si>
  <si>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</si>
  <si>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</si>
  <si>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</si>
  <si>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</si>
  <si>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</si>
  <si>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</si>
  <si>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</si>
  <si>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</si>
  <si>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</si>
  <si>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</si>
  <si>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</si>
  <si>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</si>
  <si>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</si>
  <si>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</si>
  <si>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</si>
  <si>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</si>
  <si>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</si>
  <si>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</si>
  <si>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</si>
  <si>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</si>
  <si>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</si>
  <si>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</si>
  <si>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</si>
  <si>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</si>
  <si>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</si>
  <si>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</si>
  <si>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</si>
  <si>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</si>
  <si>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</si>
  <si>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</si>
  <si>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</si>
  <si>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</si>
  <si>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</si>
  <si>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</si>
  <si>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</si>
  <si>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</si>
  <si>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</si>
  <si>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</si>
  <si>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</si>
  <si>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</si>
  <si>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</si>
  <si>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</si>
  <si>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</si>
  <si>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</si>
  <si>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</si>
  <si>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</si>
  <si>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</si>
  <si>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</si>
  <si>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</si>
  <si>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</si>
  <si>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</si>
  <si>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</si>
  <si>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</si>
  <si>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</si>
  <si>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</si>
  <si>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</si>
  <si>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</si>
  <si>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</si>
  <si>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</si>
  <si>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</si>
  <si>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</si>
  <si>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</si>
  <si>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</si>
  <si>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</si>
  <si>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</si>
  <si>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</si>
  <si>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</si>
  <si>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</si>
  <si>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</si>
  <si>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</si>
  <si>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</si>
  <si>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</si>
  <si>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</si>
  <si>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</si>
  <si>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</si>
  <si>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</si>
  <si>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</si>
  <si>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</si>
  <si>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</si>
  <si>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</si>
  <si>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</si>
  <si>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</si>
  <si>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</si>
  <si>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</si>
  <si>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</si>
  <si>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</si>
  <si>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</si>
  <si>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</si>
  <si>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</si>
  <si>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</si>
  <si>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</si>
  <si>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</si>
  <si>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</si>
  <si>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</si>
  <si>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</si>
  <si>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</si>
  <si>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</si>
  <si>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</si>
  <si>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</si>
  <si>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</si>
  <si>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</si>
  <si>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</si>
  <si>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</si>
  <si>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</si>
  <si>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</si>
  <si>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</si>
  <si>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</si>
  <si>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</si>
  <si>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</si>
  <si>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</si>
  <si>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</si>
  <si>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</si>
  <si>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</si>
  <si>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</si>
  <si>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</si>
  <si>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</si>
  <si>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</si>
  <si>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</si>
  <si>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</si>
  <si>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</si>
  <si>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</si>
  <si>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</si>
  <si>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</si>
  <si>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</si>
  <si>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</si>
  <si>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</si>
  <si>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</si>
  <si>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</si>
  <si>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</si>
  <si>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</si>
  <si>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</si>
  <si>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</si>
  <si>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</si>
  <si>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</si>
  <si>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</si>
  <si>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</si>
  <si>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</si>
  <si>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</si>
  <si>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</si>
  <si>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</si>
  <si>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</si>
  <si>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</si>
  <si>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</si>
  <si>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</si>
  <si>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</si>
  <si>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</si>
  <si>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</si>
  <si>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</si>
  <si>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</si>
  <si>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</si>
  <si>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</si>
  <si>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</si>
  <si>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</si>
  <si>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</si>
  <si>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</si>
  <si>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</si>
  <si>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</si>
  <si>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</si>
  <si>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</si>
  <si>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</si>
  <si>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</si>
  <si>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</si>
  <si>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</si>
  <si>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</si>
  <si>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</si>
  <si>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</si>
  <si>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</si>
  <si>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</si>
  <si>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</si>
  <si>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</si>
  <si>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</si>
  <si>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</si>
  <si>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</si>
  <si>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</si>
  <si>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</si>
  <si>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</si>
  <si>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</si>
  <si>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</si>
  <si>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</si>
  <si>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</si>
  <si>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</si>
  <si>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</si>
  <si>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</si>
  <si>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</si>
  <si>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</si>
  <si>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</si>
  <si>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</si>
  <si>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</si>
  <si>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</si>
  <si>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</si>
  <si>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</si>
  <si>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</si>
  <si>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</si>
  <si>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</si>
  <si>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</si>
  <si>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</si>
  <si>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</si>
  <si>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</si>
  <si>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</si>
  <si>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</si>
  <si>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</si>
  <si>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</si>
  <si>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</si>
  <si>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</si>
  <si>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</si>
  <si>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</si>
  <si>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</si>
  <si>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</si>
  <si>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</si>
  <si>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</si>
  <si>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</si>
  <si>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</si>
  <si>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</si>
  <si>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</si>
  <si>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</si>
  <si>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</si>
  <si>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</si>
  <si>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</si>
  <si>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</si>
  <si>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</si>
  <si>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</si>
  <si>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</si>
  <si>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</si>
  <si>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</si>
  <si>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</si>
  <si>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</si>
  <si>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</si>
  <si>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</si>
  <si>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</si>
  <si>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</si>
  <si>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</si>
  <si>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</si>
  <si>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</si>
  <si>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</si>
  <si>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</si>
  <si>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</si>
  <si>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</si>
  <si>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</si>
  <si>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</si>
  <si>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</si>
  <si>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</si>
  <si>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</si>
  <si>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</si>
  <si>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</si>
  <si>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</si>
  <si>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</si>
  <si>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</si>
  <si>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</si>
  <si>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</si>
  <si>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</si>
  <si>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</si>
  <si>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</si>
  <si>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</si>
  <si>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</si>
  <si>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</si>
  <si>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</si>
  <si>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</si>
  <si>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</si>
  <si>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</si>
  <si>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</si>
  <si>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</si>
  <si>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</si>
  <si>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</si>
  <si>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</si>
  <si>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</si>
  <si>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</si>
  <si>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</si>
  <si>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</si>
  <si>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</si>
  <si>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</si>
  <si>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</si>
  <si>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</si>
  <si>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</si>
  <si>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</si>
  <si>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</si>
  <si>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</si>
  <si>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</si>
  <si>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</si>
  <si>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</si>
  <si>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</si>
  <si>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</si>
  <si>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</si>
  <si>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</si>
  <si>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</si>
  <si>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</si>
  <si>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</si>
  <si>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</si>
  <si>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</si>
  <si>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</si>
  <si>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</si>
  <si>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</si>
  <si>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</si>
  <si>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</si>
  <si>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</si>
  <si>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</si>
  <si>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</si>
  <si>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</si>
  <si>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</si>
  <si>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</si>
  <si>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</si>
  <si>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</si>
  <si>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</si>
  <si>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</si>
  <si>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</si>
  <si>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</si>
  <si>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</si>
  <si>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</si>
  <si>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</si>
  <si>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</si>
  <si>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</si>
  <si>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</si>
  <si>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</si>
  <si>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</si>
  <si>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</si>
  <si>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</si>
  <si>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</si>
  <si>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</si>
  <si>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</si>
  <si>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</si>
  <si>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</si>
  <si>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</si>
  <si>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</si>
  <si>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</si>
  <si>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</si>
  <si>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</si>
  <si>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</si>
  <si>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</si>
  <si>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</si>
  <si>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</si>
  <si>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</si>
  <si>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</si>
  <si>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</si>
  <si>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</si>
  <si>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</si>
  <si>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</si>
  <si>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</si>
  <si>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</si>
  <si>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</si>
  <si>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</si>
  <si>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</si>
  <si>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</si>
  <si>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</si>
  <si>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</si>
  <si>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</si>
  <si>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</si>
  <si>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</si>
  <si>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</si>
  <si>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</si>
  <si>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</si>
  <si>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</si>
  <si>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</si>
  <si>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</si>
  <si>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</si>
  <si>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</si>
  <si>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</si>
  <si>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</si>
  <si>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</si>
  <si>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</si>
  <si>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</si>
  <si>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</si>
  <si>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</si>
  <si>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</si>
  <si>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</si>
  <si>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</si>
  <si>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</si>
  <si>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</si>
  <si>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</si>
  <si>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</si>
  <si>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</si>
  <si>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</si>
  <si>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</si>
  <si>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</si>
  <si>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</si>
  <si>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</si>
  <si>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</si>
  <si>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</si>
  <si>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</si>
  <si>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</si>
  <si>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</si>
  <si>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</si>
  <si>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</si>
  <si>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</si>
  <si>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</si>
  <si>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</si>
  <si>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</si>
  <si>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</si>
  <si>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</si>
  <si>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</si>
  <si>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</si>
  <si>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</si>
  <si>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</si>
  <si>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</si>
  <si>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</si>
  <si>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</si>
  <si>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</si>
  <si>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</si>
  <si>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</si>
  <si>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</si>
  <si>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</si>
  <si>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</si>
  <si>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</si>
  <si>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</si>
  <si>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</si>
  <si>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</si>
  <si>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</si>
  <si>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</si>
  <si>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</si>
  <si>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</si>
  <si>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</si>
  <si>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</si>
  <si>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</si>
  <si>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</si>
  <si>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</si>
  <si>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</si>
  <si>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</si>
  <si>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</si>
  <si>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</si>
  <si>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</si>
  <si>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</si>
  <si>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</si>
  <si>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</si>
  <si>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</si>
  <si>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</si>
  <si>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</si>
  <si>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</si>
  <si>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</si>
  <si>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</si>
  <si>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</si>
  <si>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</si>
  <si>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</si>
  <si>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</si>
  <si>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</si>
  <si>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</si>
  <si>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</si>
  <si>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</si>
  <si>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</si>
  <si>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</si>
  <si>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</si>
  <si>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</si>
  <si>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</si>
  <si>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</si>
  <si>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</si>
  <si>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</si>
  <si>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</si>
  <si>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</si>
  <si>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</si>
  <si>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</si>
  <si>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</si>
  <si>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</si>
  <si>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</si>
  <si>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</si>
  <si>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</si>
  <si>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</si>
  <si>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</si>
  <si>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</si>
  <si>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</si>
  <si>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</si>
  <si>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</si>
  <si>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</si>
  <si>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</si>
  <si>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</si>
  <si>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</si>
  <si>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</si>
  <si>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</si>
  <si>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</si>
  <si>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</si>
  <si>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</si>
  <si>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</si>
  <si>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</si>
  <si>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</si>
  <si>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</si>
  <si>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</si>
  <si>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</si>
  <si>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</si>
  <si>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</si>
  <si>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</si>
  <si>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</si>
  <si>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</si>
  <si>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</si>
  <si>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</si>
  <si>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</si>
  <si>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</si>
  <si>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</si>
  <si>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</si>
  <si>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</si>
  <si>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</si>
  <si>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</si>
  <si>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</si>
  <si>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</si>
  <si>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</si>
  <si>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</si>
  <si>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</si>
  <si>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</si>
  <si>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</si>
  <si>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</si>
  <si>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</si>
  <si>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</si>
  <si>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</si>
  <si>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</si>
  <si>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</si>
  <si>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</si>
  <si>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</si>
  <si>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</si>
  <si>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</si>
  <si>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</si>
  <si>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</si>
  <si>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</si>
  <si>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</si>
  <si>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</si>
  <si>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</si>
  <si>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</si>
  <si>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</si>
  <si>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</si>
  <si>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</si>
  <si>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</si>
  <si>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</si>
  <si>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</si>
  <si>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</si>
  <si>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</si>
  <si>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</si>
  <si>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</si>
  <si>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</si>
  <si>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</si>
  <si>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</si>
  <si>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</si>
  <si>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</si>
  <si>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</si>
  <si>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</si>
  <si>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</si>
  <si>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</si>
  <si>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</si>
  <si>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</si>
  <si>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</si>
  <si>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</si>
  <si>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</si>
  <si>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</si>
  <si>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</si>
  <si>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</si>
  <si>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</si>
  <si>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</si>
  <si>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</si>
  <si>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</si>
  <si>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</si>
  <si>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</si>
  <si>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</si>
  <si>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</si>
  <si>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</si>
  <si>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</si>
  <si>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</si>
  <si>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</si>
  <si>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</si>
  <si>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</si>
  <si>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</si>
  <si>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</si>
  <si>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</si>
  <si>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</si>
  <si>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</si>
  <si>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</si>
  <si>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</si>
  <si>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</si>
  <si>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</si>
  <si>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</si>
  <si>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</si>
  <si>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</si>
  <si>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</si>
  <si>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</si>
  <si>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</si>
  <si>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</si>
  <si>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</si>
  <si>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</si>
  <si>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</si>
  <si>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</si>
  <si>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</si>
  <si>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</si>
  <si>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</si>
  <si>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</si>
  <si>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</si>
  <si>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</si>
  <si>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</si>
  <si>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</si>
  <si>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</si>
  <si>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</si>
  <si>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</si>
  <si>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</si>
  <si>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</si>
  <si>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</si>
  <si>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</si>
  <si>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</si>
  <si>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</si>
  <si>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</si>
  <si>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</si>
  <si>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</si>
  <si>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</si>
  <si>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</si>
  <si>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</si>
  <si>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</si>
  <si>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</si>
  <si>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</si>
  <si>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</si>
  <si>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</si>
  <si>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</si>
  <si>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</si>
  <si>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</si>
  <si>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</si>
  <si>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</si>
  <si>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</si>
  <si>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</si>
  <si>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</si>
  <si>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</si>
  <si>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</si>
  <si>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</si>
  <si>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</si>
  <si>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</si>
  <si>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</si>
  <si>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</si>
  <si>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</si>
  <si>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</si>
  <si>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</si>
  <si>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</si>
  <si>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</si>
  <si>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</si>
  <si>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</si>
  <si>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</si>
  <si>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</si>
  <si>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</si>
  <si>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</si>
  <si>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</si>
  <si>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</si>
  <si>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</si>
  <si>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</si>
  <si>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</si>
  <si>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</si>
  <si>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</si>
  <si>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</si>
  <si>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</si>
  <si>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</si>
  <si>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</si>
  <si>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</si>
  <si>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</si>
  <si>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</si>
  <si>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</si>
  <si>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</si>
  <si>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</si>
  <si>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</si>
  <si>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</si>
  <si>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</si>
  <si>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</si>
  <si>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</si>
  <si>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</si>
  <si>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</si>
  <si>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</si>
  <si>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</si>
  <si>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</si>
  <si>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</si>
  <si>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</si>
  <si>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</si>
  <si>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</si>
  <si>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</si>
  <si>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</si>
  <si>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</si>
  <si>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</si>
  <si>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</si>
  <si>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</si>
  <si>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</si>
  <si>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</si>
  <si>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</si>
  <si>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</si>
  <si>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</si>
  <si>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</si>
  <si>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</si>
  <si>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</si>
  <si>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</si>
  <si>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</si>
  <si>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</si>
  <si>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</si>
  <si>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</si>
  <si>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</si>
  <si>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</si>
  <si>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</si>
  <si>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</si>
  <si>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</si>
  <si>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</si>
  <si>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</si>
  <si>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</si>
  <si>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</si>
  <si>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</si>
  <si>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</si>
  <si>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</si>
  <si>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</si>
  <si>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</si>
  <si>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</si>
  <si>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</si>
  <si>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</si>
  <si>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</si>
  <si>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</si>
  <si>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</si>
  <si>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</si>
  <si>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</si>
  <si>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</si>
  <si>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</si>
  <si>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</si>
  <si>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</si>
  <si>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</si>
  <si>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</si>
  <si>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</si>
  <si>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</si>
  <si>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</si>
  <si>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</si>
  <si>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</si>
  <si>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</si>
  <si>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</si>
  <si>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</si>
  <si>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</si>
  <si>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</si>
  <si>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</si>
  <si>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</si>
  <si>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</si>
  <si>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</si>
  <si>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</si>
  <si>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</si>
  <si>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</si>
  <si>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</si>
  <si>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</si>
  <si>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</si>
  <si>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</si>
  <si>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</si>
  <si>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</si>
  <si>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</si>
  <si>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</si>
  <si>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</si>
  <si>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</si>
  <si>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</si>
  <si>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</si>
  <si>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</si>
  <si>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</si>
  <si>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</si>
  <si>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</si>
  <si>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</si>
  <si>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</si>
  <si>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</si>
  <si>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</si>
  <si>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</si>
  <si>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</si>
  <si>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</si>
  <si>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</si>
  <si>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</si>
  <si>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</si>
  <si>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</si>
  <si>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</si>
  <si>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</si>
  <si>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</si>
  <si>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</si>
  <si>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</si>
  <si>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</si>
  <si>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</si>
  <si>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</si>
  <si>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</si>
  <si>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</si>
  <si>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</si>
  <si>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</si>
  <si>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</si>
  <si>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</si>
  <si>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</si>
  <si>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</si>
  <si>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</si>
  <si>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</si>
  <si>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</si>
  <si>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</si>
  <si>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</si>
  <si>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</si>
  <si>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</si>
  <si>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</si>
  <si>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</si>
  <si>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</si>
  <si>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</si>
  <si>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</si>
  <si>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</si>
  <si>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</si>
  <si>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</si>
  <si>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</si>
  <si>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</si>
  <si>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</si>
  <si>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</si>
  <si>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</si>
  <si>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</si>
  <si>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</si>
  <si>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</si>
  <si>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</si>
  <si>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</si>
  <si>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</si>
  <si>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</si>
  <si>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</si>
  <si>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</si>
  <si>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</si>
  <si>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</si>
  <si>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</si>
  <si>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</si>
  <si>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</si>
  <si>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</si>
  <si>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</si>
  <si>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</si>
  <si>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</si>
  <si>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</si>
  <si>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</si>
  <si>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</si>
  <si>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</si>
  <si>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</si>
  <si>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</si>
  <si>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</si>
  <si>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</si>
  <si>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</si>
  <si>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</si>
  <si>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</si>
  <si>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</si>
  <si>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</si>
  <si>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</si>
  <si>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</si>
  <si>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</si>
  <si>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</si>
  <si>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</si>
  <si>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</si>
  <si>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</si>
  <si>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</si>
  <si>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</si>
  <si>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</si>
  <si>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</si>
  <si>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</si>
  <si>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</si>
  <si>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</si>
  <si>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</si>
  <si>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</si>
  <si>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</si>
  <si>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</si>
  <si>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</si>
  <si>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</si>
  <si>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</si>
  <si>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</si>
  <si>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</si>
  <si>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</si>
  <si>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</si>
  <si>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</si>
  <si>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</si>
  <si>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</si>
  <si>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</si>
  <si>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</si>
  <si>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</si>
  <si>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</si>
  <si>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</si>
  <si>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</si>
  <si>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</si>
  <si>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</si>
  <si>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</si>
  <si>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</si>
  <si>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</si>
  <si>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</si>
  <si>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</si>
  <si>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</si>
  <si>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</si>
  <si>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</si>
  <si>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</si>
  <si>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</si>
  <si>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</si>
  <si>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</si>
  <si>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</si>
  <si>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</si>
  <si>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</si>
  <si>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</si>
  <si>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</si>
  <si>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</si>
  <si>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</si>
  <si>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</si>
  <si>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</si>
  <si>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</si>
  <si>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</si>
  <si>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</si>
  <si>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</si>
  <si>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</si>
  <si>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</si>
  <si>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</si>
  <si>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</si>
  <si>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</si>
  <si>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</si>
  <si>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</si>
  <si>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</si>
  <si>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</si>
  <si>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</si>
  <si>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</si>
  <si>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</si>
  <si>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</si>
  <si>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</si>
  <si>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</si>
  <si>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</si>
  <si>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</si>
  <si>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</si>
  <si>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</si>
  <si>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</si>
  <si>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</si>
  <si>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</si>
  <si>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</si>
  <si>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</si>
  <si>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</si>
  <si>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</si>
  <si>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</si>
  <si>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</si>
  <si>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</si>
  <si>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</si>
  <si>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</si>
  <si>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</si>
  <si>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</si>
  <si>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</si>
  <si>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</si>
  <si>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</si>
  <si>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</si>
  <si>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</si>
  <si>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</si>
  <si>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</si>
  <si>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</si>
  <si>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</si>
  <si>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</si>
  <si>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</si>
  <si>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</si>
  <si>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</si>
  <si>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</si>
  <si>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</si>
  <si>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</si>
  <si>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</si>
  <si>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</si>
  <si>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</si>
  <si>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</si>
  <si>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</si>
  <si>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</si>
  <si>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</si>
  <si>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</si>
  <si>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</si>
  <si>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</si>
  <si>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</si>
  <si>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</si>
  <si>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</si>
  <si>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</si>
  <si>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</si>
  <si>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</si>
  <si>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</si>
  <si>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</si>
  <si>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</si>
  <si>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</si>
  <si>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</si>
  <si>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</si>
  <si>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</si>
  <si>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</si>
  <si>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</si>
  <si>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</si>
  <si>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</si>
  <si>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</si>
  <si>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</si>
  <si>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</si>
  <si>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</si>
  <si>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</si>
  <si>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</si>
  <si>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</si>
  <si>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</si>
  <si>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</si>
  <si>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</si>
  <si>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</si>
  <si>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</si>
  <si>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</si>
  <si>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</si>
  <si>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</si>
  <si>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</si>
  <si>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</si>
  <si>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</si>
  <si>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</si>
  <si>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</si>
  <si>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</si>
  <si>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</si>
  <si>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</si>
  <si>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</si>
  <si>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</si>
  <si>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</si>
  <si>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</si>
  <si>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</si>
  <si>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</si>
  <si>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</si>
  <si>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</si>
  <si>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</si>
  <si>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</si>
  <si>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</si>
  <si>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</si>
  <si>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</si>
  <si>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</si>
  <si>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</si>
  <si>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</si>
  <si>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</si>
  <si>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</si>
  <si>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</si>
  <si>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</si>
  <si>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</si>
  <si>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</si>
  <si>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</si>
  <si>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</si>
  <si>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</si>
  <si>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</si>
  <si>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</si>
  <si>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</si>
  <si>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</si>
  <si>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</si>
  <si>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</si>
  <si>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</si>
  <si>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</si>
  <si>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</si>
  <si>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</si>
  <si>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</si>
  <si>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</si>
  <si>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</si>
  <si>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</si>
  <si>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</si>
  <si>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</si>
  <si>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</si>
  <si>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</si>
  <si>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</si>
  <si>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</si>
  <si>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</si>
  <si>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</si>
  <si>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</si>
  <si>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</si>
  <si>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</si>
  <si>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</si>
  <si>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</si>
  <si>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</si>
  <si>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</si>
  <si>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</si>
  <si>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</si>
  <si>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</si>
  <si>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</si>
  <si>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</si>
  <si>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</si>
  <si>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</si>
  <si>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</si>
  <si>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</si>
  <si>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</si>
  <si>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</si>
  <si>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</si>
  <si>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</si>
  <si>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</si>
  <si>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</si>
  <si>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</si>
  <si>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</si>
  <si>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</si>
  <si>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</si>
  <si>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</si>
  <si>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</si>
  <si>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</si>
  <si>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</si>
  <si>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</si>
  <si>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</si>
  <si>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</si>
  <si>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</si>
  <si>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</si>
  <si>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</si>
  <si>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</si>
  <si>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</si>
  <si>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</si>
  <si>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</si>
  <si>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</si>
  <si>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</si>
  <si>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</si>
  <si>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</si>
  <si>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</si>
  <si>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</si>
  <si>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</si>
  <si>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</si>
  <si>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</si>
  <si>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</si>
  <si>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</si>
  <si>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</si>
  <si>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</si>
  <si>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</si>
  <si>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</si>
  <si>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</si>
  <si>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</si>
  <si>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</si>
  <si>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</si>
  <si>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</si>
  <si>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</si>
  <si>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</si>
  <si>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</si>
  <si>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</si>
  <si>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</si>
  <si>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</si>
  <si>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</si>
  <si>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</si>
  <si>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</si>
  <si>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</si>
  <si>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</si>
  <si>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</si>
  <si>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</si>
  <si>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</si>
  <si>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</si>
  <si>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</si>
  <si>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</si>
  <si>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</si>
  <si>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</si>
  <si>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</si>
  <si>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</si>
  <si>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</si>
  <si>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</si>
  <si>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</si>
  <si>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</si>
  <si>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</si>
  <si>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</si>
  <si>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</si>
  <si>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</si>
  <si>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</si>
  <si>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</si>
  <si>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</si>
  <si>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</si>
  <si>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</si>
  <si>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</si>
  <si>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</si>
  <si>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</si>
  <si>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</si>
  <si>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</si>
  <si>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</si>
  <si>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</si>
  <si>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</si>
  <si>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</si>
  <si>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</si>
  <si>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</si>
  <si>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</si>
  <si>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</si>
  <si>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</si>
  <si>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</si>
  <si>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</si>
  <si>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</si>
  <si>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</si>
  <si>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</si>
  <si>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</si>
  <si>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</si>
  <si>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</si>
  <si>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</si>
  <si>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</si>
  <si>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</si>
  <si>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</si>
  <si>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</si>
  <si>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</si>
  <si>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</si>
  <si>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</si>
  <si>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</si>
  <si>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</si>
  <si>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</si>
  <si>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</si>
  <si>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</si>
  <si>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</si>
  <si>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</si>
  <si>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</si>
  <si>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</si>
  <si>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</si>
  <si>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</si>
  <si>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</si>
  <si>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</si>
  <si>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</si>
  <si>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</si>
  <si>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</si>
  <si>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</si>
  <si>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</si>
  <si>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</si>
  <si>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</si>
  <si>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</si>
  <si>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</si>
  <si>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</si>
  <si>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</si>
  <si>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</si>
  <si>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</si>
  <si>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</si>
  <si>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</si>
  <si>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</si>
  <si>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</si>
  <si>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</si>
  <si>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</si>
  <si>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</si>
  <si>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</si>
  <si>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</si>
  <si>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</si>
  <si>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</si>
  <si>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</si>
  <si>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</si>
  <si>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</si>
  <si>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</si>
  <si>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</si>
  <si>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</si>
  <si>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</si>
  <si>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</si>
  <si>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</si>
  <si>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</si>
  <si>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</si>
  <si>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</si>
  <si>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</si>
  <si>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</si>
  <si>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</si>
  <si>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</si>
  <si>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</si>
  <si>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</si>
  <si>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</si>
  <si>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</si>
  <si>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</si>
  <si>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</si>
  <si>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</si>
  <si>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</si>
  <si>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</si>
  <si>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</si>
  <si>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</si>
  <si>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</si>
  <si>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</si>
  <si>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</si>
  <si>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</si>
  <si>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</si>
  <si>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</si>
  <si>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</si>
  <si>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</si>
  <si>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</si>
  <si>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</si>
  <si>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</si>
  <si>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</si>
  <si>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</si>
  <si>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</si>
  <si>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</si>
  <si>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</si>
  <si>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</si>
  <si>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</si>
  <si>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</si>
  <si>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</si>
  <si>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</si>
  <si>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</si>
  <si>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</si>
  <si>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</si>
  <si>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</si>
  <si>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</si>
  <si>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</si>
  <si>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</si>
  <si>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</si>
  <si>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</si>
  <si>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</si>
  <si>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</si>
  <si>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</si>
  <si>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</si>
  <si>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</si>
  <si>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</si>
  <si>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</si>
  <si>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</si>
  <si>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</si>
  <si>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</si>
  <si>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</si>
  <si>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</si>
  <si>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</si>
  <si>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</si>
  <si>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</si>
  <si>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</si>
  <si>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</si>
  <si>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</si>
  <si>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</si>
  <si>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</si>
  <si>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</si>
  <si>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</si>
  <si>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</si>
  <si>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</si>
  <si>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</si>
  <si>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</si>
  <si>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</si>
  <si>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</si>
  <si>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</si>
  <si>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</si>
  <si>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</si>
  <si>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</si>
  <si>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</si>
  <si>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</si>
  <si>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</si>
  <si>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</si>
  <si>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</si>
  <si>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</si>
  <si>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</si>
  <si>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</si>
  <si>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</si>
  <si>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</si>
  <si>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</si>
  <si>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</si>
  <si>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</si>
  <si>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</si>
  <si>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</si>
  <si>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</si>
  <si>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</si>
  <si>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</si>
  <si>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</si>
  <si>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</si>
  <si>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</si>
  <si>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</si>
  <si>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</si>
  <si>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</si>
  <si>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</si>
  <si>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</si>
  <si>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</si>
  <si>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</si>
  <si>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</si>
  <si>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</si>
  <si>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</si>
  <si>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</si>
  <si>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</si>
  <si>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</si>
  <si>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</si>
  <si>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</si>
  <si>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</si>
  <si>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</si>
  <si>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</si>
  <si>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</si>
  <si>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</si>
  <si>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</si>
  <si>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</si>
  <si>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</si>
  <si>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</si>
  <si>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</si>
  <si>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</si>
  <si>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</si>
  <si>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</si>
  <si>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</si>
  <si>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</si>
  <si>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</si>
  <si>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</si>
  <si>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</si>
  <si>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</si>
  <si>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</si>
  <si>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</si>
  <si>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</si>
  <si>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</si>
  <si>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</si>
  <si>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</si>
  <si>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</si>
  <si>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</si>
  <si>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</si>
  <si>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</si>
  <si>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</si>
  <si>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</si>
  <si>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</si>
  <si>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</si>
  <si>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</si>
  <si>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</si>
  <si>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</si>
  <si>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</si>
  <si>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</si>
  <si>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</si>
  <si>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</si>
  <si>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</si>
  <si>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</si>
  <si>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</si>
  <si>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</si>
  <si>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</si>
  <si>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</si>
  <si>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</si>
  <si>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</si>
  <si>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</si>
  <si>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</si>
  <si>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</si>
  <si>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</si>
  <si>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</si>
  <si>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</si>
  <si>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</si>
  <si>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</si>
  <si>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</si>
  <si>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</si>
  <si>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</si>
  <si>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</si>
  <si>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</si>
  <si>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</si>
  <si>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</si>
  <si>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</si>
  <si>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</si>
  <si>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</si>
  <si>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</si>
  <si>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</si>
  <si>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</si>
  <si>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</si>
  <si>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</si>
  <si>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</si>
  <si>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</si>
  <si>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</si>
  <si>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</si>
  <si>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</si>
  <si>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</si>
  <si>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</si>
  <si>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</si>
  <si>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</si>
  <si>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</si>
  <si>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</si>
  <si>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</si>
  <si>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</si>
  <si>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</si>
  <si>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</si>
  <si>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</si>
  <si>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</si>
  <si>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</si>
  <si>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</si>
  <si>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</si>
  <si>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</si>
  <si>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</si>
  <si>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</si>
  <si>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</si>
  <si>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</si>
  <si>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</si>
  <si>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</si>
  <si>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</si>
  <si>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</si>
  <si>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</si>
  <si>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</si>
  <si>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</si>
  <si>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</si>
  <si>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</si>
  <si>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</si>
  <si>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</si>
  <si>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</si>
  <si>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</si>
  <si>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</si>
  <si>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</si>
  <si>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</si>
  <si>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</si>
  <si>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</si>
  <si>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</si>
  <si>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</si>
  <si>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</si>
  <si>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</si>
  <si>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</si>
  <si>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</si>
  <si>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</si>
  <si>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</si>
  <si>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</si>
  <si>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</si>
  <si>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</si>
  <si>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</si>
  <si>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</si>
  <si>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</si>
  <si>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</si>
  <si>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</si>
  <si>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</si>
  <si>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</si>
  <si>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</si>
  <si>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</si>
  <si>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</si>
  <si>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</si>
  <si>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</si>
  <si>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</si>
  <si>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</si>
  <si>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</si>
  <si>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</si>
  <si>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</si>
  <si>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</si>
  <si>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</si>
  <si>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</si>
  <si>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</si>
  <si>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</si>
  <si>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</si>
  <si>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</si>
  <si>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</si>
  <si>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</si>
  <si>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</si>
  <si>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</si>
  <si>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</si>
  <si>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</si>
  <si>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</si>
  <si>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</si>
  <si>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</si>
  <si>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</si>
  <si>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</si>
  <si>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</si>
  <si>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</si>
  <si>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</si>
  <si>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</si>
  <si>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</si>
  <si>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</si>
  <si>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</si>
  <si>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</si>
  <si>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</si>
  <si>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</si>
  <si>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</si>
  <si>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</si>
  <si>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</si>
  <si>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</si>
  <si>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</si>
  <si>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</si>
  <si>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</si>
  <si>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</si>
  <si>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</si>
  <si>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</si>
  <si>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</si>
  <si>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</si>
  <si>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</si>
  <si>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</si>
  <si>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</si>
  <si>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</si>
  <si>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</si>
  <si>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</si>
  <si>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</si>
  <si>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</si>
  <si>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</si>
  <si>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</si>
  <si>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</si>
  <si>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</si>
  <si>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</si>
  <si>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</si>
  <si>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</si>
  <si>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</si>
  <si>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</si>
  <si>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</si>
  <si>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</si>
  <si>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</si>
  <si>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</si>
  <si>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</si>
  <si>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</si>
  <si>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</si>
  <si>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</si>
  <si>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</si>
  <si>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</si>
  <si>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</si>
  <si>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</si>
  <si>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</si>
  <si>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</si>
  <si>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</si>
  <si>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</si>
  <si>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</si>
  <si>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</si>
  <si>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</si>
  <si>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</si>
  <si>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</si>
  <si>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</si>
  <si>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</si>
  <si>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</si>
  <si>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</si>
  <si>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</si>
  <si>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</si>
  <si>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</si>
  <si>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</si>
  <si>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</si>
  <si>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</si>
  <si>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</si>
  <si>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</si>
  <si>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</si>
  <si>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</si>
  <si>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</si>
  <si>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</si>
  <si>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</si>
  <si>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</si>
  <si>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</si>
  <si>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</si>
  <si>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</si>
  <si>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</si>
  <si>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</si>
  <si>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</si>
  <si>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</si>
  <si>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</si>
  <si>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</si>
  <si>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</si>
  <si>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</si>
  <si>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</si>
  <si>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</si>
  <si>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</si>
  <si>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</si>
  <si>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</si>
  <si>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</si>
  <si>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</si>
  <si>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</si>
  <si>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</si>
  <si>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</si>
  <si>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</si>
  <si>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</si>
  <si>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</si>
  <si>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</si>
  <si>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</si>
  <si>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</si>
  <si>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</si>
  <si>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</si>
  <si>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</si>
  <si>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</si>
  <si>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</si>
  <si>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</si>
  <si>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</si>
  <si>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</si>
  <si>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</si>
  <si>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</si>
  <si>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</si>
  <si>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</si>
  <si>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</si>
  <si>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</si>
  <si>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</si>
  <si>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</si>
  <si>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</si>
  <si>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</si>
  <si>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</si>
  <si>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</si>
  <si>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</si>
  <si>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</si>
  <si>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</si>
  <si>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</si>
  <si>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</si>
  <si>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</si>
  <si>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</si>
  <si>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</si>
  <si>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</si>
  <si>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</si>
  <si>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</si>
  <si>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</si>
  <si>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</si>
  <si>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</si>
  <si>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</si>
  <si>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</si>
  <si>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</si>
  <si>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</si>
  <si>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</si>
  <si>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</si>
  <si>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</si>
  <si>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</si>
  <si>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</si>
  <si>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</si>
  <si>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</si>
  <si>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</si>
  <si>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</si>
  <si>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</si>
  <si>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</si>
  <si>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</si>
  <si>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</si>
  <si>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</si>
  <si>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</si>
  <si>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</si>
  <si>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</si>
  <si>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</si>
  <si>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</si>
  <si>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</si>
  <si>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</si>
  <si>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</si>
  <si>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</si>
  <si>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</si>
  <si>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</si>
  <si>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</si>
  <si>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</si>
  <si>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</si>
  <si>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</si>
  <si>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</si>
  <si>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</si>
  <si>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</si>
  <si>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</si>
  <si>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</si>
  <si>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</si>
  <si>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</si>
  <si>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</si>
  <si>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</si>
  <si>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</si>
  <si>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</si>
  <si>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</si>
  <si>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</si>
  <si>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</si>
  <si>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</si>
  <si>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</si>
  <si>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</si>
  <si>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</si>
  <si>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</si>
  <si>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</si>
  <si>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</si>
  <si>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</si>
  <si>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</si>
  <si>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</si>
  <si>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</si>
  <si>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</si>
  <si>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</si>
  <si>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</si>
  <si>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</si>
  <si>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</si>
  <si>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</si>
  <si>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</si>
  <si>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</si>
  <si>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</si>
  <si>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</si>
  <si>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</si>
  <si>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</si>
  <si>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</si>
  <si>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</si>
  <si>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</si>
  <si>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</si>
  <si>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</si>
  <si>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Applicant is not claiming points in this section.</t>
  </si>
  <si>
    <t>Agree</t>
  </si>
  <si>
    <t>Disagree</t>
  </si>
  <si>
    <t>Applicant agrees to accept Section 811 project based rental assistance or other DCA offered rental assistance for up to 10% of the units for the purpose of providing integrated housing opportunities to persons with disabilities. Applicant is eligible for these points because at 10% of the low-income units in the Application are one bedroom units.  The Applicant is willing to accept Assistance set for 50% AMI tenants.</t>
  </si>
  <si>
    <t>N/a</t>
  </si>
  <si>
    <t>Applicant is claiming the Priority point on this application.  This is the only application in which Project Team members have a direct /indirect interest.</t>
  </si>
  <si>
    <t>Applicant is taking points in this section because Grayling Place is not within a 1-mile radius of a 9% Georgia Housing Credit development that has received an award in the last six (6) DCA competitive funding cycles.</t>
  </si>
  <si>
    <t xml:space="preserve">Applicant is not claiming points in this section.  </t>
  </si>
  <si>
    <t>Upper</t>
  </si>
  <si>
    <t>A2</t>
  </si>
  <si>
    <t>City of Columbus</t>
  </si>
  <si>
    <t>Richards Middle School</t>
  </si>
  <si>
    <t>Hardaway High School</t>
  </si>
  <si>
    <t>Pre K - 5</t>
  </si>
  <si>
    <t>6-8</t>
  </si>
  <si>
    <t>9-12</t>
  </si>
  <si>
    <t>Muscogee County</t>
  </si>
  <si>
    <t>Food Talk</t>
  </si>
  <si>
    <t>% of residents visiting Mobile Health Unit each month</t>
  </si>
  <si>
    <t>% of residents who follow up with additional medical care after visit at Mobile Health Unit</t>
  </si>
  <si>
    <t>Biometric Screenings</t>
  </si>
  <si>
    <t xml:space="preserve">Blood Glucose Monitoring </t>
  </si>
  <si>
    <t>Diabetes Prevention Education</t>
  </si>
  <si>
    <t>monthly</t>
  </si>
  <si>
    <t>Piedmont Columbus Regional Healthcare System (through its Mobile Health Unit)</t>
  </si>
  <si>
    <t>Publicly available</t>
  </si>
  <si>
    <t xml:space="preserve"> Route:  https://www.columbusga.gov/Metra/routes/Route01.pdf</t>
  </si>
  <si>
    <t>Schedule:  https://www.columbusga.gov/Metra/routes/Route01.pdf</t>
  </si>
  <si>
    <t>&lt;&lt; Enter transit agency/service name here &gt;&gt;METRA Transit</t>
  </si>
  <si>
    <t>&lt;Enter phone here&gt;706-225-4581</t>
  </si>
  <si>
    <t>Applicant has met Threshold by agreeing to all of the above.</t>
  </si>
  <si>
    <t>No one lives on this site.  No relocation or displacement of tenants will occur.</t>
  </si>
  <si>
    <t>No legal opinions are required for this application.</t>
  </si>
  <si>
    <t>A CHDO is not part of the ownership structure for this Application.</t>
  </si>
  <si>
    <t>This project is not in the Rural HOME preservation set aside.</t>
  </si>
  <si>
    <t>A qualified nonprofit is not part of this application.</t>
  </si>
  <si>
    <t>Applicant has met Threshold because the Certifying Entities and other team members have completed all required documents specified in TAB 19.</t>
  </si>
  <si>
    <t>Applicant has met Threshold because the Certifying Entities in this application  (Kevin Buckner and MHL, Inc.) were deemed qualified without conditions in 2017.  The determination letter and all other Qualifications for Project Team  documents can be found in TAB 19.</t>
  </si>
  <si>
    <t xml:space="preserve">Applicant has met Threshold by adhering  to DCA design and quality standards.  This is not a rehabilitation project, therefore, item A above was left blank. </t>
  </si>
  <si>
    <t>Zeffert and Associates</t>
  </si>
  <si>
    <t>Applicant has met Threshold because this project will achieve the minimum standards for efficiency and sustainable building practices as defined in the 2018 QAP.</t>
  </si>
  <si>
    <t>Applicant has met Threshold because the Site Information and Conceptual Site Development Plan accurately addresses all requirements stated above and in the 2018 Architectural Manual.  The Plan can be found in TAB 15.</t>
  </si>
  <si>
    <t>This project does not include rehabilitation.</t>
  </si>
  <si>
    <t>On-site laundry</t>
  </si>
  <si>
    <t>Covered Porch</t>
  </si>
  <si>
    <t>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t>
  </si>
  <si>
    <t>Columbus Water Works</t>
  </si>
  <si>
    <t>Applicant has met Threshold because operating utilities are available to the project. The project will not utilize gas service.  The electricity availability letter is in TAB 11.</t>
  </si>
  <si>
    <t>Georgia Power</t>
  </si>
  <si>
    <t>N/Ap</t>
  </si>
  <si>
    <t>N/Av</t>
  </si>
  <si>
    <t xml:space="preserve">Applicant has met Threshold by specifying an entrance to the site  that is legally accessible by paved roads (Hilton Street).  See map in TAB 9.  </t>
  </si>
  <si>
    <t>Purchase Contract</t>
  </si>
  <si>
    <t>MHL, Inc.</t>
  </si>
  <si>
    <t>United Consulting</t>
  </si>
  <si>
    <t>This application does not require an appraisal because there is not an identity of interest between the buyer and seller of the project.</t>
  </si>
  <si>
    <t>Real Property Research Group</t>
  </si>
  <si>
    <t>Applicant has met Threshold by agreeing that all selcted services will meet QAP policies.</t>
  </si>
  <si>
    <t>Movie nights</t>
  </si>
  <si>
    <t>Budgeting, Avoiding Identity Theft</t>
  </si>
  <si>
    <t xml:space="preserve">Applicant has met Threshold by designating this as a family project.  </t>
  </si>
  <si>
    <t>Bank Misc. Fees</t>
  </si>
  <si>
    <t>Perm Loan Due Diligence Docs.</t>
  </si>
  <si>
    <t>Copying/UPS/FedEx, etc.</t>
  </si>
  <si>
    <t>3+ Story</t>
  </si>
  <si>
    <t>Electric Heat Pump</t>
  </si>
  <si>
    <t>The Housing Authority of the City of Columbus</t>
  </si>
  <si>
    <t>Kevin Buckner is the President of Hunter's Walk Home Center, Inc.(Contractor) and MHL, Inc. (Developer).</t>
  </si>
  <si>
    <t>Kevin Buckner is the President of Hunter's Walk Home Center, Inc. (Contractor) and the managing member of the general partner.</t>
  </si>
  <si>
    <t xml:space="preserve">Kevin Buckner is the President of MHL, Inc.(Developer) and a member of the State Limited Partner. </t>
  </si>
  <si>
    <t>Kevin Buckner is the President of Hunter's Walk Home Center, Inc. (Contractor) and is a member of the State Limited Partner.</t>
  </si>
  <si>
    <t>For Profit</t>
  </si>
  <si>
    <t>Michael T. Riley</t>
  </si>
  <si>
    <t>Vice President</t>
  </si>
  <si>
    <t>Alison Fossyl, CPA</t>
  </si>
  <si>
    <t>Partner</t>
  </si>
  <si>
    <t>Althea Broughton</t>
  </si>
  <si>
    <t>Kevin Buckner</t>
  </si>
  <si>
    <t>Managing Member</t>
  </si>
  <si>
    <t>President</t>
  </si>
  <si>
    <t>Martin Riley Associates</t>
  </si>
  <si>
    <t>215 Church Street, Suite 200</t>
  </si>
  <si>
    <t>Aprio/HA+W</t>
  </si>
  <si>
    <t>Five Concourse Parkway, Suite 1000</t>
  </si>
  <si>
    <t>Arnall Golden &amp; Gregory</t>
  </si>
  <si>
    <t>171 17th Street NW, #2100</t>
  </si>
  <si>
    <t>3825 Paces Walk SE, Suite 100</t>
  </si>
  <si>
    <t>Regions Bank</t>
  </si>
  <si>
    <t>1900 5th Avenue North,15th Floor</t>
  </si>
  <si>
    <t>TBG Grayling Place, LLC</t>
  </si>
  <si>
    <t>Grayling Place, LP</t>
  </si>
  <si>
    <t>Manager</t>
  </si>
  <si>
    <t>kbuckner@tbgresidential.com</t>
  </si>
  <si>
    <t>www.tbgresidential.com</t>
  </si>
  <si>
    <t>www.regions.com</t>
  </si>
  <si>
    <t>Reed Dolihite</t>
  </si>
  <si>
    <t>Birmingham</t>
  </si>
  <si>
    <t>reed.dolihite@regions.com</t>
  </si>
  <si>
    <t>Alison.fossyl@aprio.com</t>
  </si>
  <si>
    <t>www.aprio.com</t>
  </si>
  <si>
    <t>www.martinriley.com</t>
  </si>
  <si>
    <t>mriley@martinriley.com</t>
  </si>
  <si>
    <t>Amortizing</t>
  </si>
  <si>
    <t>Deferred Developer Fee</t>
  </si>
  <si>
    <t>1000 Wynnton Road</t>
  </si>
  <si>
    <t>J. Len Williams, Chief Executive Officer</t>
  </si>
  <si>
    <t>jlwilliams@columbushousing.org</t>
  </si>
  <si>
    <t>Grayling Place</t>
  </si>
  <si>
    <t>Brad Smith</t>
  </si>
  <si>
    <t>ttomlinson@columbusga.org</t>
  </si>
  <si>
    <t>www.columbusga.gov</t>
  </si>
  <si>
    <t>100 10th Street, Government Center</t>
  </si>
  <si>
    <t>Mayor</t>
  </si>
  <si>
    <t>Teresa Tomlinson</t>
  </si>
  <si>
    <t>Nonie Eakle</t>
  </si>
  <si>
    <t>nonie.eakle@gmail.com</t>
  </si>
  <si>
    <t>11.00</t>
  </si>
  <si>
    <t>2551 Wynnton Road</t>
  </si>
  <si>
    <t>Within City Limits</t>
  </si>
  <si>
    <t>TBG Residential</t>
  </si>
  <si>
    <t>VP of Development</t>
  </si>
  <si>
    <t>Amelia Johnson</t>
  </si>
  <si>
    <t>ajohnson@tbgresidential.com</t>
  </si>
  <si>
    <t>9% Credit Competitive Round only</t>
  </si>
  <si>
    <t>When closing the bridge loan, Regions Bank charges an up front plan and cost review fee, an appraisal fee, flood certificate, environmental review fee, and an accounting forcast charge.</t>
  </si>
  <si>
    <t>These costs are related to the construction of the building and are allowed in basis.</t>
  </si>
  <si>
    <t>Intangible Taxes</t>
  </si>
  <si>
    <t>This item is not included in basis.</t>
  </si>
  <si>
    <t>Direct</t>
  </si>
  <si>
    <t>www.agg.com</t>
  </si>
  <si>
    <t>Althea.broughton@agg.com</t>
  </si>
  <si>
    <t>P.O. Box 300</t>
  </si>
  <si>
    <t>Cataula</t>
  </si>
  <si>
    <t>Hilton GBT Property, LLC</t>
  </si>
  <si>
    <t xml:space="preserve">&lt;&lt;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
Healthy Way will be a healthy housing initiative incorporated into the Grayling Place community.  Beyond answering the demand for affordable housing, Grayling Place will serve as a platform for community change to improve the health and well-being of our residents through education and regular screenings.  By co-locating this initiative at the development, we can literally meet people where they are and work with them to facilitate improved health for themselves and their families.  
• After conducting the 2016 Community Health Needs Assessment (CHNA), Columbus Midtown Medical Center and Columbus Northside Medical Center  identified three main areas of focus, and diabetes is one of those.  The CHNA identifies the following strategies to address this main area of focus: (1) increase participation in Diabetes Prevention Program (DPP), (2) promote DPP to at-risk individuals, (3) support quality enhancement programs, and (4) increase the use of Community Health Workers and Diabetes Educators. 
• In the CHNA, there was discussion of not only the prevalence of diabetes in the community (at rates which disproportionally affected non-Hispanic Blacks), but also the high incidence of those with pre-diabetes or borderline diabetes.  There was also narrative related to the top concerns expressed by those participating in the assessment, and many of these concerns focused on education and making the connection between diet and exercise as preventative strategies.  
• In the Muscogee County data shown on the County Health Rankings and Roadmaps, Muscogee County has an adult obesity rate of 30% (as compared to the Georgia average of 30%).  Additionally, Muscogee County has a diabetes monitoring rate of 78% (as compared to the Georgia average of 85%).  Muscogee County also has numbers that are higher than the state’s average for poor or fair health and poor physical health days.
The Program – Utilizing the data above, Healthy Way will focus on diabetes prevention through a community partnership with Piedmont Columbus Regional and its Mobile Health Unit .  Healthy Way will focus on the following priorities: (1) expand and enhance diabetes awareness and education, (2) increase knowledge related to the impact of diet and exercise on changing health outcomes, and (3) increase diabetes monitoring rates .   
• Glucose Monitoring and Biometric Screenings – A biometric screening provides a clinical assessment of key health measures.  These results may be used to identify health conditions like diabetes, or to indicate an increased risk for the disease.  An important part of a health and wellness program, biometric screenings are used to: (1) identify participants who would benefit from health coaching and education, (2) provide validated data and measure program outcomes over a minimum of five years, and (3) help participants make the right health choices.  Biometric screenings include body measurements such as height, weight, body fat percentage, waist and hip measurements, and blood pressure.  These can serve as measures of obesity and indicators of diabetes risk.  Healthy Way will also focus on monitoring blood glucose levels as indicators of diabetes or pre-diabetes by blood draws through finger sticks.  The convenience of monthly on site visits of the Mobile Health Unit will promote early intervention and referrals as necessary for those individuals who need additional and more intensive medical resources.  
• Education – Through the biometric screenings and diabetes prevention education, we will help residents “know their numbers.”  As the next step, Healthy Way will work to improve participants’ knowledge about what those numbers mean, associated health implications and risks, and how to work on certain behaviors to improve their numbers, manage their diabetes, and/or lower their risk of ever developing diabetes .  In addition to the regular monthly Healthy Way screenings and visits with Piedmont Columbus medical staff, participants will be encouraged to utilize on line (online)* resources such as those available through EmPOWERED to Serve .  The site includes not only health lessons and fitness plans, but also cooking videos and suggestions for engaging children so that fitness can be a family affair.  Furthermore, smart phone apps such as MyFitnessPal can be utilized by participants to track diet and exercise as a way to reach weight or fitness goals
Partner – Piedmont Columbus Regional  will be the provider partner for Healthy Way and will utilize its Mobile Health Unit for monthly visits to the Grayling Place community.  As part of Piedmont Columbus Regional’s commitment to improve the health of their community, the Mobile Unit offers services and health education programs to respond to needs and improve the health of the Chattahoochee Valley area.  The 40-foot vehicle, which serves as a mobile clinic, consists of a waiting area, well-equipped exam rooms, and a lab.  The Unit team consists of a RN (Mobile Unit Coordinator), physicians, and a pharmacist.  Through health screenings, health and wellness education, and resources, the Unit is able to help identify and target health risks.  Early detection of potential and existing medical conditions allows for more effective treatment and supports overall health.   The Mobile Unit will have all necessary equipment for the biometric screenings and glucose tests including a scale, blood pressure cuff, tape measure, and finger stick blood kits.  </t>
  </si>
  <si>
    <t>Wynnton Arts Academy</t>
  </si>
  <si>
    <t>Regions  Affordable Housing, LLC</t>
  </si>
  <si>
    <t>Regions Affordable Housing, LLC</t>
  </si>
  <si>
    <t xml:space="preserve">Kevin Buckner is the President of MHL, Inc.(Developer), Hunter's Walk Home Center, Inc. (Contractor), Buckner Finance Company (Management Company),  and a member of the State Limited Partner. </t>
  </si>
  <si>
    <t>Regions Capital Markets Group</t>
  </si>
  <si>
    <t>Intangible taxes in Georgia are $1.50 per $500 of the long term debt, capped at $25,000. Our perm loan amount is $3,000,000.  The loan amount / $500 = 6,200 x $1.50 =9,000.00.</t>
  </si>
  <si>
    <t>Our permanent lender charges this amount for 3rd party reports such as a market study, phase I, zoning report, underwriting report and insurance review.</t>
  </si>
  <si>
    <t>Muscogee County administers its own Section 8 Voucher Program, therefore, the utility allowances provided by the Housing Authority of the City of Columbus were used.  These utility allowances were in effect as of 1/1/2018. See TAB 1 for copy of utlity allowance.</t>
  </si>
  <si>
    <t>Johnston Mill Lofts</t>
  </si>
  <si>
    <t>16 units a month. Fully leased in 5 months.</t>
  </si>
  <si>
    <t>2007-507</t>
  </si>
  <si>
    <t>2001-523</t>
  </si>
  <si>
    <t>Liberty Gardens</t>
  </si>
  <si>
    <t>1994-012</t>
  </si>
  <si>
    <t>Lumpkin Park</t>
  </si>
  <si>
    <t>2007-504</t>
  </si>
  <si>
    <t>Springfield Crossing</t>
  </si>
  <si>
    <t>2000-055</t>
  </si>
  <si>
    <t>APPLICANTS: Explain any any debt service payment amounts that deviate from the amount shown in Permanent Sources (Part III)
The annual asset management fees of $500 to the state investor and $4,000 to the federal investor are payable for 15 years.</t>
  </si>
  <si>
    <t>May 2018 v3</t>
  </si>
  <si>
    <t>Troup County / Hogansville / LaGrange / West Point</t>
  </si>
  <si>
    <t>2006-042</t>
  </si>
  <si>
    <t>Ashley  Station</t>
  </si>
  <si>
    <t>Applicant has met Threshold by providing site control for this project through August 30, 2019.    The  Purchase &amp; Sale Agreement  calls for closing 180 days after a LIHTC award, but no later than 8/30/2019.  In addition, the Agreement has provisions for 4 thirty-day extensions, which gives us 6 months to close from DCA's award date.. The Purchase &amp; Sale  Agreement and legal description can be found in TAB 8.  For question d. above, Applicant answered "no" because there is no identity of interest between buyer and seller.  Kevin Buckner is president of MHL, Inc. as well as manager of the general partner entity for this project.</t>
  </si>
  <si>
    <t>TBG Grayling Place  Investments, LLC</t>
  </si>
  <si>
    <t>A member of the GP is also president of the general contractor, property management company and developer. Both members of the managing general partner are members of the State Limited Partner.</t>
  </si>
  <si>
    <t>Kevin Buckner is the president of MHL, Inc. (developer), Hunter's Walk Home Center, Inc. (general contractor) and BFC, Inc. (property management company).  Kevin Buckner is  a member of the General Partner, TBG Grayling Place, LLC.  Kevin Buckner is a member of the State Limited Partner, TBG Grayling Place Investments, LLC.</t>
  </si>
  <si>
    <t>706-255-5358</t>
  </si>
  <si>
    <t xml:space="preserve">This line item includes costs associated with printing and copying plans, specifications,  applications and other project documents during the development process.  Also included are overnight delivery service costs (UPS, FedEx) and mailing costs. </t>
  </si>
  <si>
    <t>Applicant has met Threshold because all costs directly associated with developing unrestricted units for this project are covered by conventional or unrestricted financing sources. The total unrestricted financing sources is $3,364,044 which is 20.90% of the total development costs.  There are 17 unrestricted units in this project which is 20.24% of the total units.  The percentage of unrestricted and conventional financing sources to total development costs is greater than the percentage of market rate units to total units.  Applicant has also met Threshold by providing a Market Study that adheres to all requirements of the 2018 Market Study Manual. There are not more than two DCA funded projects in the PMA which have physical occupancy rates of less than 90% and which compete for the same tenant base as Grayling Place.   There are no capture rates over 55% for either a specific bedroom type or market segement.  See market study in TAB 5.  Other LIHTC projects in the PMA are Arbor Pointe III 2010-025,  Arbor Point 2007-025 and Columbus Commons 2014-015. Only the market rate units at Columbus Commons are included in the market study as the remaining units are deeply subsidized.</t>
  </si>
  <si>
    <t xml:space="preserve">Applicant claims 10 points in this category for the following desirable activities/characteristics that are within a 1.5 mile walking/driving distance from the site: Publix Super Market, Columbus Public Library, Rigdon Road Elementary, Synovus Bank and the Columbus Fire &amp; EMS Station.  Desirables that are within a .5 mile walking/driving distance from the site are: Renal Associates, LLC, Chick-fil-A, New Testament Christian Center Church, United States Postal Service and Walgreens. See TAB 27 for details.    There are no undesirable activities/characteristics located within  1/4 th mile radius from the site.    </t>
  </si>
  <si>
    <t>Health Services Coordinator/RSC</t>
  </si>
  <si>
    <t>Applicant has met Threshold by agreeing  to all of DCA's accessibility standards stated above and in the 2018 QAP.</t>
  </si>
  <si>
    <t>Monthly Newsletter from HSC</t>
  </si>
  <si>
    <t>*To all Applicants: Real estate taxes shown in Operating Budget should be prior to any tax abatement.  In addition to your other comments, please provide methodology for determining real estate tax calculation. Property Taxes were calculated as follows:  Property Tax Eagle estimated the FMV of  this property at $3,121,947.  Using the income approach to value prescribed by DOR requires application of a factor of 40% Assessment Ratio to FMV to developed Assessed Value (AV) of $1,248,778.  The estimated millage of .032 is then applied to Av of $1,248,778 to derive an estimated property tax liability of $39,961 year-one (allowing for rounding up cents)  See documentation from our property tax advisor in TAB 01.
**To all Applicants: in addition to your other comments, please provide methodology for insurance calculation.  Property insurance is based on $225/unit or $18,900 annually per our insurance agent.  See documentation in TAB 01.
Included above is the estimated annual budget for our  Housing Resource Coordinator for our Healthy Housing Initiative, Healthy Way.  This person will make $12 an hour x 1,040 hours.  See TAB 30 for details on this annual amount.</t>
  </si>
  <si>
    <t xml:space="preserve">The Grayling Place development team is the exact same team that was qualified for Madison Heights Phase II  (2017-027) in 2017.    The Determination letter can be found in TAB 19.  The project will be placed in service in 2020.  We added 15 years for the Compliance Period, plus 5 more years.
Parking Requirements: 2 spaces per unit, 168 spaces.  Parking Provided: 170 spaces.
</t>
  </si>
  <si>
    <t>Applicant has met Threshold because the site is currently zoned appropriately for multifamily development.  This site is zoned RMF2 (Residential Multifamily 2).  Zoning documentation and the Cover Sheet of the CSDP addressing zoning can be found  in TAB 10.</t>
  </si>
  <si>
    <t>Fenced Community Garden</t>
  </si>
  <si>
    <t>Equipped Computer Room</t>
  </si>
  <si>
    <t>Applicant has met Threshold because the project will include all required standard site amenities and additional amenities.  This is not a senior project, therefore, items in Section D were left blank.  The Site Information and Conceptual Site Development Plan found in TAB 15 includes the location of these amenities.</t>
  </si>
  <si>
    <t>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set income limits at 50% AMI and gross rents at or below 30% of the 50% income limit for at least 20% of the units, and therefore, qualifies for 2 points.  There are 17 units at 50% AMI in this project.
Section 4:  Community Transportation:  Applicant is taking these points because the site is within a 0.25 mile walking distance of an established public transportation stop.  The East Wynnton Route bus stop is .2 miles from the site's first  pedestrian entrance and .05 miles from the site's  second pedestrian entrance.  See TAB 28 for Schedule, fares and route.
Section 5:  Stable Communities:  Applicant is claiming points in this section because Grayling Place is located in a stable community with Upper income designation and a pverty level of 4.33%.  The most recent FFIEC Consus Report demontrating the project meets these requirements can be found in TAB 29.
Section 6:  Enriched Properties:  Applicant has committed to promote and measure residents' positive health outcomes under the Healthy Housing Initiative and the Healthy Eating Initiative.  Applicant has proposed a plan called  Healthy Way that addresses diabetes, a locally relevant health issue.  Prevention and resident education are two ways Grayling Place intends to carry out this plan.  Through a partnership with Piedmont Columbus Regional Healthcare System, residents will have free access to Glucose Monitoring and Biometric Screenings.  The convenience of monthly onsite visits of the Mobile Health Unit will promote early intervention and referrals as necessary.  This program will also work with participant's knowledge about what their numbers mean, associated health implications and risks.  The program will provide informational pamphlets to residents explaining how certain behaviors can help improve their numbers. Residents will be encouraged to utilize Empowered to Serve, an online resource offering health lessons, work out videos and numerous articles relating to a healthy lifestyle.   Applicant has also proposed a Healthy Eating Initiative that addresses healthy eating.  Working with the Columbus Muscogee Extension office,  this will present opportunities for “cross learning” where Healthy Way participants can learn about how to put into practice some of the diet and nutrition suggestions offered by medical personnel.  The project will have a community garden accessible to all residents. This garden is noted on the CSP1. and CSP3. in Tab 15.  The Applicant will ensure that the basic organization and managment of the garden is maintained.  In addition, a monthly healthy eating newsletter will be sent to all residents to help them  gain a better understanding of healthy food preparation and garden maintenance.   See TAB 30 for required documentation.
Section 13:  Extended Affordability Commitment:  Applicant  is willing to forego the Qualified Contract Cancellation Option for at least 5 years after the close of the Compliance Period.
Section 22: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t>
  </si>
  <si>
    <t>MHL, Inc. DBA TBG Residential</t>
  </si>
  <si>
    <t>Hunter's Walk Home Center, Inc. DBA TBG Construction</t>
  </si>
  <si>
    <t>Buckner Finance Company DBA TBG Residential</t>
  </si>
  <si>
    <t>Environmental:  Lead in Soils Mitigation</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</si>
  <si>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</si>
  <si>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Applicant is claiming 3 points for Exceptional Sustainable Building Certification.  Applicant commits to achieving 10 additional points over minimum in the Enterprise Foundation Green Communities certification program (following Enterprise Green Communities protocol under the guidance of an Enterprise Qualified TA provider).  A draft scoring sheet showing how  this project's score meets at least the minimum score required is located in TAB 29.  10 additional points over the minimum score would be 45 points and the scoring sheet reflects the anticipated score at 52 points.</t>
  </si>
  <si>
    <t>Applicant is taking points because Grayling Place is located in the attendance zone of Hardaway High School, a High Performing School in Muscogee County according to Georgia's performance evaluation system (CCRPI).  The school serves at least 3 grades per QAP requirements.   Applicant is also taking points here because the location of this site exceeds the mimimum jobs threhold by 50%.  See Tab 31 for school district map and letter.</t>
  </si>
  <si>
    <t>In partnership with the Muscogee County UGA Extension office, Food Talk offers a program geared toward a diverse audience of adults and youth with limited financial resources.  Food Talk focuses on four core elements:  diet quality and physical activity, food resource management, food safety, and food security.</t>
  </si>
  <si>
    <t>Each month residents will receive a Healthy Eating Newsletter written by the HSC, that provides information about garden maintenance, healthy eating suggestions, recipes and / or exercise and weight management efforts.  In addition, the HSC will hold Healthy Eating workshops as part of the Food Talk Program.</t>
  </si>
  <si>
    <t>A small amount of lead in soils was found on this site.  These soils will be removed prior to the start of construction. See proposal for this work in Tab 44.</t>
  </si>
  <si>
    <t xml:space="preserve">Applicant has met Threshold because project costs are within DCA's Cost Limits. Please note that the Unit Cost Limits shown above utilize HUD's 2017 TDC Limits for buildings with elevators.  This project does not contain elevators and has three story walk-up buildings as noted on the Revenues &amp; Expenses tab. The PCL stated in cell P63 overstates the actual cost limits.  Please see Tab 44 for Applicant's calculation of Unit Cost Limits.
</t>
  </si>
  <si>
    <t xml:space="preserve">Grayling Place is a proposed 84-unit family development to be located in the City of Columbus. The development will include new construction of four residential buildings and a clubhouse. The community will be located off of Wynnton Road and within walking distance of public transportation, restaurants, schools, and a place of worship. The site is located in census tract 0011.00, is considered upper income and a 4.33% poverty rate. This development will sit on 5.79 acres of land. The site is adjacent to single family residential homes located in two historical neighborhoods and desirable commercial amenities. 
Grayling Place will provide a mix of unit choices, and will appeal to a variety of individuals and families. The project will include 10 one-bedroom units, 56 two-bedroom units, and 18 three-bedroom units.  There will be 17 units at 50% of the Area Median Income, 50 units at 60% of the Area Median Income, and 17 units at market rate. Residents will enjoy an equipped playground, a computer center, an onsite laundry facility, and community garden. The site will also have plenty of green space for our residents to enjoy and be in close proximity to public transportation. This project will be an active community with regularly scheduled social events.
Grayling Place will seek ten points over the minimum score required in the Enterprise Foundation Green Communities certification program to achieve the Exceptional Sustainable Building Certification. This accomplishment will  allow the residents to enjoy energy efficient living spaces, lower utility costs, and will limit the environmental “foot print” of the development on the community.    
There will also be a healthy housing and healthy eating initiative called Healthy Way incorporated into the Grayling Place community.  Beyond answering the demand for affordable housing, Grayling Place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Through partnerships with local hospitals such as Piedmont Columbus Regional, we will have regular monthly visits from a Mobile Health Unit for biometric screenings and blood glucose monitoring along with education and awareness information on topics ranging from exercise and nutrition to awareness of risk factors of diabetes.
The Project Team brings a wealth of experience, both individually and collectively as a team that has worked together over multiple projects.  The Project Team has completed 15 developments, many with over 84 units, totaling 1042 units.  Madison Heights, which is currently under construction, will be 120 units, and Madison Heights Phase II will begin construction in June of 2018 will also be 120 units.  Dunwoody Place (Huntsville, AL) is 112 units, and Glen Arbor is also 112 units. Taylor Village, an adaptive-reuse project which is under construction, has allowed the TBG team to recreate and restore the historic and structural integrity of the deteriorated Taylor Memorial Hospital. TBG recognizes the importance of developing communities that compliment surrounding neighborhood designs. The aforementioned experiences, along with HOME, TCAP, and other 9% Tax Credit experience, sets our long standing and cohesive team up for success.
MHL,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MHL, Inc.
The total development cost for Grayling Place is estimated to be approximately $16,105,048. Sources of funds for construction and permanent financing include federal and state credit equity along with  conventional financing. 
</t>
  </si>
  <si>
    <t>One major roadway, one military airport and one civil airport were identified within the prescribed distances from the Project Site.</t>
  </si>
  <si>
    <t xml:space="preserve">* To all applicants: in addition to your other comments, please provide methodology for determining applicable construction hard costs.
  Tap Fees:   Sewer Tap Fees: $500 x84 units =$42,000.    Water Tap Fees:  $1500x 84 units= $126,000 + 2" clubhouse meter $3,425 plus a 2" irrigation meter for $3,425.     Further explanation of these costs  are in TAB 44.
Construction Inspection Fees are based on $700 a month for 16 months.  
 Construction costs are $112,594.32 /unit which is within the limits of  HUD's 2017  PIH Office of Capital Improvements total development costs for the Columbus MSA .   See a Construction Hard Costs Schedule of Values in TAB 01.  Costs were determined based upon most current costs from similar projects.   Construction and Bridge Loan Financing Fees are calculated at 1%.   
DCA requires an Operating Deficit Reserve in the amount of 6 months operating expenses plus 6 months of debt service.  (176,400 + 96,663= $273,063 ).  
Developer fee calculation:  TDC $16,105,048- Land $2,500,000 -Builder Profit $497,785- Developer Fee $1,650,000- reserves $361,263= $11,096,000* 15% = $1,664,400  max developer fee.  Applicant budgeted $1,650,000 for developer fee.
 An Enterprise qualified TA provider, as required by the QAP is $35,500 even though this line item cannot be more than $20,000.  
Furniture Fixtures and Equipment include $20,000 for furnishings for the clubhouse and $10,000 for office equipment.  
Accounting: DCA's  Cost Certification $12,500 and Contractor's Cost Cert $10,000,  +$3,000 for Carryover Report + $7,500 for dscr analysis.    Accessibilty Inspections &amp; Plan Review: Contract will be approximately $9,000 based upon past projects.
Calculation of the Construction/Bridge Loan interest is 50% of the loan amount multiplied by the interest rate.  $3,000,000*50%*4.91%*1.5=$110,475 + $8,644,384 * 50% * 4.91%=$212,525. The construction loan does not get paid off until stabilization, therefore the interest is carried out longer than the bridge loan.
Interest on the bridge loan is 30 day libor plus 300 basis points or 4.91% .  30-day LIBOR plus 300 basis points for May 2018  is 1.91. See TAB 01 for documentation. 
Demolition:  There is a small foundation and wall on the site that will be demolished.
All sound mitigation costs are included in the construction cost breakdown located in Tab 44.
            </t>
  </si>
  <si>
    <t xml:space="preserve">2016 CHNA for Columbus Regional Health System, Executive Summary of 2016 CHNA,  Muscogee County Health Rankings &amp; Roadmaps </t>
  </si>
  <si>
    <t>Lead in Soils - Yes</t>
  </si>
  <si>
    <t>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the 2018 QAP.  Applicant has followed all of DCA's policies pertaining to Project Rents, Operating Utility Allowances, Deferred Developer Fees and Commitments in this application. Applicant has shown that the percentage of unrestricted units included in this application is greater than or equal to the the percentage of unrestricted financing sources is to the total development costs.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Per Q&amp;A #8, this unit area information is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giving direction to provide this information. The square footage for a one bedroom unit is 877 sf, 1,178 sf for a two bedroom unit and 1,340 sf for a three bedroom unit.</t>
  </si>
  <si>
    <t xml:space="preserve">There is an overage and a deficit created in the Equity Check above because Regions Bank is purchasing 98.99% of the Federal credits.  TBG Grayling Place Investments, LLC  is purchasing 1% of the Federal Credits at federal pricing and 100% of the State credits at state pricing. 
The interest rate applicable to the construction period is 30-day Libor plus 300 basis points as of May 1, 2018.   30-day Libor (1.91%) plus 300 basis points is 4.91%.  See TAB 01 for documentation. We are using the 30-day Libor rate as of May 1, 2018.  
The total unrestricted financing sources is $3,364,044 which is 20.90% of the total development costs.  There are 17 unrestricted units in this project which is 20.24% of the total units.   
</t>
  </si>
  <si>
    <t xml:space="preserve">Applicant has met Threshold by providing a Phase I Environmental Report that adheres to all requriements in the 2018 Environmental Manual.  The Phase I Report can be found in TAB 7.  Because of a previously existing structure, minimal amounts of lead in soils were found and mitigation costs of $12,880  are included in the budget.  Because of a major roadway, a military airport and a civil airport all within the prescribed distances from the site, the Phase I Report includes a Noise Assessment Report and a Noise Attenuation Plan located in Appendi F.   See Tab 44 for a letter from the project architect verifying the building materials used in the proposed construction that are sufficient to aid in mitigating the indoor DNL to below 45 dB at the Project Site.  There are no HOME funds in this project, therefore, F., G., H., I. and J. above were left blank.    </t>
  </si>
  <si>
    <t>2018-021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</si>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</sst>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43"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43" fontId="11" fillId="6" borderId="17"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3" fillId="10" borderId="16"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4" fontId="3" fillId="10" borderId="16" xfId="0" applyNumberFormat="1" applyFont="1" applyFill="1" applyBorder="1" applyAlignment="1" applyProtection="1">
      <alignment horizontal="center" vertical="top"/>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Grayling Place</v>
      </c>
    </row>
    <row r="3" spans="1:6" ht="15" customHeight="1">
      <c r="A3" s="915" t="str">
        <f>CONCATENATE('Part I-Project Information'!F38,", ", 'Part I-Project Information'!J39," County")</f>
        <v>Columbus, Muscogee County</v>
      </c>
    </row>
    <row r="4" spans="1:6" ht="12" customHeight="1"/>
    <row r="5" spans="1:6" ht="111" customHeight="1">
      <c r="A5" s="2433" t="s">
        <v>4739</v>
      </c>
      <c r="B5" s="2434" t="s">
        <v>2931</v>
      </c>
      <c r="C5" s="2434"/>
      <c r="D5" s="2434"/>
      <c r="E5" s="2434"/>
      <c r="F5" s="2434"/>
    </row>
    <row r="6" spans="1:6" ht="6.6" customHeight="1">
      <c r="A6" s="2433"/>
      <c r="B6" s="2434"/>
      <c r="C6" s="2434"/>
      <c r="D6" s="2434"/>
      <c r="E6" s="2434"/>
      <c r="F6" s="2434"/>
    </row>
    <row r="7" spans="1:6" ht="93" customHeight="1">
      <c r="A7" s="2433"/>
      <c r="B7" s="2434"/>
      <c r="C7" s="2434"/>
      <c r="D7" s="2434"/>
      <c r="E7" s="2434"/>
      <c r="F7" s="2434"/>
    </row>
    <row r="8" spans="1:6" ht="6.6" customHeight="1">
      <c r="A8" s="2433"/>
    </row>
    <row r="9" spans="1:6" ht="93" customHeight="1">
      <c r="A9" s="2433"/>
    </row>
    <row r="10" spans="1:6" ht="6.6" customHeight="1">
      <c r="A10" s="2433"/>
    </row>
    <row r="11" spans="1:6" ht="93" customHeight="1">
      <c r="A11" s="2433"/>
    </row>
    <row r="12" spans="1:6" ht="6.6" customHeight="1">
      <c r="A12" s="2433"/>
    </row>
    <row r="13" spans="1:6" ht="93" customHeight="1">
      <c r="A13" s="2433"/>
    </row>
    <row r="14" spans="1:6" ht="6.6" customHeight="1">
      <c r="A14" s="2433"/>
    </row>
    <row r="15" spans="1:6" ht="93" customHeight="1">
      <c r="A15" s="2433"/>
    </row>
    <row r="16" spans="1:6" ht="6.6" customHeight="1">
      <c r="A16" s="2433"/>
    </row>
    <row r="17" spans="1:1" ht="93" customHeight="1">
      <c r="A17" s="2433"/>
    </row>
    <row r="18" spans="1:1" ht="6.6" customHeight="1">
      <c r="A18" s="2433"/>
    </row>
    <row r="19" spans="1:1" ht="93" customHeight="1">
      <c r="A19" s="2433"/>
    </row>
    <row r="20" spans="1:1" ht="6.6" customHeight="1">
      <c r="A20" s="2433"/>
    </row>
    <row r="21" spans="1:1" ht="93" customHeight="1">
      <c r="A21" s="2433"/>
    </row>
    <row r="22" spans="1:1" ht="6.6" customHeight="1">
      <c r="A22" s="2433"/>
    </row>
    <row r="23" spans="1:1" ht="93" customHeight="1">
      <c r="A23" s="2433"/>
    </row>
  </sheetData>
  <sheetProtection algorithmName="SHA-512" hashValue="JtYezObG+2mYeihUfjil+jZR4jcoVBkanef961gvis+CBU6utar/Q81o/9nbw05ip1mWM+BNj7TZQm4l2IMuNg==" saltValue="CqmrQE06o2Jd5XfIroRPvQ=="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A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3" t="str">
        <f>CONCATENATE("PART SIX - PROJECTED REVENUES &amp; EXPENSES","  -  ",'Part I-Project Information'!$O$6," ",'Part I-Project Information'!$F$34,", ",'Part I-Project Information'!F38,", ",'Part I-Project Information'!J39," County")</f>
        <v>PART SIX - PROJECTED REVENUES &amp; EXPENSES  -  2018-021 Grayling Place, Columbus, Muscogee County</v>
      </c>
      <c r="B1" s="2824"/>
      <c r="C1" s="2824"/>
      <c r="D1" s="2824"/>
      <c r="E1" s="2824"/>
      <c r="F1" s="2824"/>
      <c r="G1" s="2824"/>
      <c r="H1" s="2824"/>
      <c r="I1" s="2824"/>
      <c r="J1" s="2824"/>
      <c r="K1" s="2824"/>
      <c r="L1" s="2824"/>
      <c r="M1" s="2824"/>
      <c r="N1" s="2824"/>
      <c r="O1" s="2824"/>
      <c r="P1" s="2825"/>
      <c r="U1" s="3075" t="str">
        <f>A1</f>
        <v>PART SIX - PROJECTED REVENUES &amp; EXPENSES  -  2018-021 Grayling Place, Columbus, Muscogee County</v>
      </c>
      <c r="V1" s="3075"/>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55" t="s">
        <v>3446</v>
      </c>
      <c r="JD3" s="3055" t="s">
        <v>3447</v>
      </c>
      <c r="JE3" s="3055" t="s">
        <v>3448</v>
      </c>
      <c r="JF3" s="3055" t="s">
        <v>3449</v>
      </c>
      <c r="JG3" s="3055"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65" t="s">
        <v>3728</v>
      </c>
      <c r="Q4" s="1584"/>
      <c r="R4" s="431"/>
      <c r="S4" s="431"/>
      <c r="T4" s="431"/>
      <c r="U4" s="431"/>
      <c r="V4" s="432"/>
      <c r="W4" s="3072" t="s">
        <v>928</v>
      </c>
      <c r="X4" s="3072" t="s">
        <v>764</v>
      </c>
      <c r="Y4" s="3072" t="s">
        <v>765</v>
      </c>
      <c r="Z4" s="3072" t="s">
        <v>766</v>
      </c>
      <c r="AA4" s="3072" t="s">
        <v>767</v>
      </c>
      <c r="AB4" s="3072" t="s">
        <v>929</v>
      </c>
      <c r="AC4" s="3072" t="s">
        <v>2327</v>
      </c>
      <c r="AD4" s="3072" t="s">
        <v>2328</v>
      </c>
      <c r="AE4" s="3072" t="s">
        <v>2329</v>
      </c>
      <c r="AF4" s="3072" t="s">
        <v>2330</v>
      </c>
      <c r="AG4" s="3072" t="s">
        <v>930</v>
      </c>
      <c r="AH4" s="3072" t="s">
        <v>2331</v>
      </c>
      <c r="AI4" s="3072" t="s">
        <v>2332</v>
      </c>
      <c r="AJ4" s="3072" t="s">
        <v>2333</v>
      </c>
      <c r="AK4" s="3072" t="s">
        <v>2334</v>
      </c>
      <c r="AL4" s="3072" t="s">
        <v>130</v>
      </c>
      <c r="AM4" s="3072" t="s">
        <v>2335</v>
      </c>
      <c r="AN4" s="3072" t="s">
        <v>2336</v>
      </c>
      <c r="AO4" s="3072" t="s">
        <v>2337</v>
      </c>
      <c r="AP4" s="3072" t="s">
        <v>1158</v>
      </c>
      <c r="AQ4" s="3072" t="s">
        <v>561</v>
      </c>
      <c r="AR4" s="3072" t="s">
        <v>562</v>
      </c>
      <c r="AS4" s="3072" t="s">
        <v>582</v>
      </c>
      <c r="AT4" s="3072" t="s">
        <v>583</v>
      </c>
      <c r="AU4" s="3072" t="s">
        <v>584</v>
      </c>
      <c r="AV4" s="3072" t="s">
        <v>585</v>
      </c>
      <c r="AW4" s="3072" t="s">
        <v>586</v>
      </c>
      <c r="AX4" s="3072" t="s">
        <v>587</v>
      </c>
      <c r="AY4" s="3072" t="s">
        <v>588</v>
      </c>
      <c r="AZ4" s="3072" t="s">
        <v>589</v>
      </c>
      <c r="BA4" s="3072" t="s">
        <v>590</v>
      </c>
      <c r="BB4" s="3072" t="s">
        <v>591</v>
      </c>
      <c r="BC4" s="3072" t="s">
        <v>940</v>
      </c>
      <c r="BD4" s="3072" t="s">
        <v>941</v>
      </c>
      <c r="BE4" s="3072" t="s">
        <v>942</v>
      </c>
      <c r="BF4" s="3072" t="s">
        <v>501</v>
      </c>
      <c r="BG4" s="3072" t="s">
        <v>502</v>
      </c>
      <c r="BH4" s="3072" t="s">
        <v>503</v>
      </c>
      <c r="BI4" s="3072" t="s">
        <v>504</v>
      </c>
      <c r="BJ4" s="3072" t="s">
        <v>505</v>
      </c>
      <c r="BK4" s="3072" t="s">
        <v>889</v>
      </c>
      <c r="BL4" s="3072" t="s">
        <v>890</v>
      </c>
      <c r="BM4" s="3072" t="s">
        <v>891</v>
      </c>
      <c r="BN4" s="3072" t="s">
        <v>892</v>
      </c>
      <c r="BO4" s="3072" t="s">
        <v>893</v>
      </c>
      <c r="BP4" s="3072" t="s">
        <v>894</v>
      </c>
      <c r="BQ4" s="3072" t="s">
        <v>895</v>
      </c>
      <c r="BR4" s="3072" t="s">
        <v>896</v>
      </c>
      <c r="BS4" s="3072" t="s">
        <v>897</v>
      </c>
      <c r="BT4" s="3072" t="s">
        <v>898</v>
      </c>
      <c r="BU4" s="3072" t="s">
        <v>2447</v>
      </c>
      <c r="BV4" s="3072" t="s">
        <v>2448</v>
      </c>
      <c r="BW4" s="3072" t="s">
        <v>2449</v>
      </c>
      <c r="BX4" s="3072" t="s">
        <v>2450</v>
      </c>
      <c r="BY4" s="3072" t="s">
        <v>2451</v>
      </c>
      <c r="BZ4" s="3072" t="s">
        <v>118</v>
      </c>
      <c r="CA4" s="3072" t="s">
        <v>1161</v>
      </c>
      <c r="CB4" s="3072" t="s">
        <v>1162</v>
      </c>
      <c r="CC4" s="3072" t="s">
        <v>1225</v>
      </c>
      <c r="CD4" s="3072" t="s">
        <v>1226</v>
      </c>
      <c r="CE4" s="3069" t="s">
        <v>133</v>
      </c>
      <c r="CF4" s="3069" t="s">
        <v>1227</v>
      </c>
      <c r="CG4" s="3069" t="s">
        <v>1228</v>
      </c>
      <c r="CH4" s="3069" t="s">
        <v>1229</v>
      </c>
      <c r="CI4" s="3069" t="s">
        <v>1230</v>
      </c>
      <c r="CJ4" s="3069" t="s">
        <v>132</v>
      </c>
      <c r="CK4" s="3069" t="s">
        <v>920</v>
      </c>
      <c r="CL4" s="3069" t="s">
        <v>921</v>
      </c>
      <c r="CM4" s="3069" t="s">
        <v>922</v>
      </c>
      <c r="CN4" s="3069" t="s">
        <v>923</v>
      </c>
      <c r="CO4" s="3069" t="s">
        <v>131</v>
      </c>
      <c r="CP4" s="3069" t="s">
        <v>924</v>
      </c>
      <c r="CQ4" s="3069" t="s">
        <v>925</v>
      </c>
      <c r="CR4" s="3069" t="s">
        <v>926</v>
      </c>
      <c r="CS4" s="3069" t="s">
        <v>927</v>
      </c>
      <c r="CT4" s="3069" t="s">
        <v>817</v>
      </c>
      <c r="CU4" s="3069" t="s">
        <v>818</v>
      </c>
      <c r="CV4" s="3069" t="s">
        <v>819</v>
      </c>
      <c r="CW4" s="3069" t="s">
        <v>820</v>
      </c>
      <c r="CX4" s="3069" t="s">
        <v>821</v>
      </c>
      <c r="CY4" s="3069" t="s">
        <v>966</v>
      </c>
      <c r="CZ4" s="3069" t="s">
        <v>967</v>
      </c>
      <c r="DA4" s="3069" t="s">
        <v>968</v>
      </c>
      <c r="DB4" s="3069" t="s">
        <v>969</v>
      </c>
      <c r="DC4" s="3069" t="s">
        <v>2446</v>
      </c>
      <c r="DD4" s="3069" t="s">
        <v>1445</v>
      </c>
      <c r="DE4" s="3069" t="s">
        <v>1446</v>
      </c>
      <c r="DF4" s="3069" t="s">
        <v>1447</v>
      </c>
      <c r="DG4" s="3069" t="s">
        <v>1448</v>
      </c>
      <c r="DH4" s="3069" t="s">
        <v>1449</v>
      </c>
      <c r="DI4" s="3069" t="s">
        <v>438</v>
      </c>
      <c r="DJ4" s="3069" t="s">
        <v>439</v>
      </c>
      <c r="DK4" s="3069" t="s">
        <v>440</v>
      </c>
      <c r="DL4" s="3069" t="s">
        <v>441</v>
      </c>
      <c r="DM4" s="3069" t="s">
        <v>442</v>
      </c>
      <c r="DN4" s="3069" t="s">
        <v>17</v>
      </c>
      <c r="DO4" s="3069" t="s">
        <v>18</v>
      </c>
      <c r="DP4" s="3069" t="s">
        <v>19</v>
      </c>
      <c r="DQ4" s="3069" t="s">
        <v>20</v>
      </c>
      <c r="DR4" s="3069" t="s">
        <v>21</v>
      </c>
      <c r="DS4" s="3069" t="s">
        <v>224</v>
      </c>
      <c r="DT4" s="3069" t="s">
        <v>225</v>
      </c>
      <c r="DU4" s="3069" t="s">
        <v>226</v>
      </c>
      <c r="DV4" s="3069" t="s">
        <v>1824</v>
      </c>
      <c r="DW4" s="3069" t="s">
        <v>1825</v>
      </c>
      <c r="DX4" s="3069" t="s">
        <v>1826</v>
      </c>
      <c r="DY4" s="3069" t="s">
        <v>598</v>
      </c>
      <c r="DZ4" s="3069" t="s">
        <v>599</v>
      </c>
      <c r="EA4" s="3069" t="s">
        <v>600</v>
      </c>
      <c r="EB4" s="3069" t="s">
        <v>601</v>
      </c>
      <c r="EC4" s="3069" t="s">
        <v>22</v>
      </c>
      <c r="ED4" s="3069" t="s">
        <v>23</v>
      </c>
      <c r="EE4" s="3069" t="s">
        <v>24</v>
      </c>
      <c r="EF4" s="3069" t="s">
        <v>25</v>
      </c>
      <c r="EG4" s="3069" t="s">
        <v>26</v>
      </c>
      <c r="EH4" s="3069" t="s">
        <v>500</v>
      </c>
      <c r="EI4" s="3069" t="s">
        <v>434</v>
      </c>
      <c r="EJ4" s="3069" t="s">
        <v>435</v>
      </c>
      <c r="EK4" s="3069" t="s">
        <v>436</v>
      </c>
      <c r="EL4" s="3069" t="s">
        <v>437</v>
      </c>
      <c r="EM4" s="3069" t="s">
        <v>2225</v>
      </c>
      <c r="EN4" s="3069" t="s">
        <v>2226</v>
      </c>
      <c r="EO4" s="3069" t="s">
        <v>2227</v>
      </c>
      <c r="EP4" s="3069" t="s">
        <v>1491</v>
      </c>
      <c r="EQ4" s="3069" t="s">
        <v>1492</v>
      </c>
      <c r="ER4" s="3069" t="s">
        <v>27</v>
      </c>
      <c r="ES4" s="3069" t="s">
        <v>28</v>
      </c>
      <c r="ET4" s="3069" t="s">
        <v>29</v>
      </c>
      <c r="EU4" s="3069" t="s">
        <v>30</v>
      </c>
      <c r="EV4" s="3069"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55" t="s">
        <v>1637</v>
      </c>
      <c r="IE4" s="3055" t="s">
        <v>2541</v>
      </c>
      <c r="IF4" s="3055" t="s">
        <v>2542</v>
      </c>
      <c r="IG4" s="3055" t="s">
        <v>388</v>
      </c>
      <c r="IH4" s="3055" t="s">
        <v>389</v>
      </c>
      <c r="II4" s="3055" t="s">
        <v>390</v>
      </c>
      <c r="IJ4" s="3055" t="s">
        <v>391</v>
      </c>
      <c r="IK4" s="3055" t="s">
        <v>392</v>
      </c>
      <c r="IL4" s="3055" t="s">
        <v>393</v>
      </c>
      <c r="IM4" s="3055" t="s">
        <v>394</v>
      </c>
      <c r="IN4" s="3055" t="s">
        <v>204</v>
      </c>
      <c r="IO4" s="3055" t="s">
        <v>205</v>
      </c>
      <c r="IP4" s="3055" t="s">
        <v>206</v>
      </c>
      <c r="IQ4" s="3055" t="s">
        <v>207</v>
      </c>
      <c r="IR4" s="3055" t="s">
        <v>208</v>
      </c>
      <c r="IS4" s="3055" t="s">
        <v>209</v>
      </c>
      <c r="IT4" s="3055" t="s">
        <v>210</v>
      </c>
      <c r="IU4" s="3055" t="s">
        <v>211</v>
      </c>
      <c r="IV4" s="3055" t="s">
        <v>212</v>
      </c>
      <c r="IW4" s="3055" t="s">
        <v>213</v>
      </c>
      <c r="IX4" s="3055" t="s">
        <v>214</v>
      </c>
      <c r="IY4" s="3055" t="s">
        <v>215</v>
      </c>
      <c r="IZ4" s="3055" t="s">
        <v>216</v>
      </c>
      <c r="JA4" s="3055" t="s">
        <v>217</v>
      </c>
      <c r="JB4" s="3055" t="s">
        <v>218</v>
      </c>
      <c r="JC4" s="3055"/>
      <c r="JD4" s="3055"/>
      <c r="JE4" s="3055"/>
      <c r="JF4" s="3055"/>
      <c r="JG4" s="3055"/>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71" t="str">
        <f>IF(A48&gt;0,"Finish Row!","")</f>
        <v/>
      </c>
      <c r="B5" s="4" t="s">
        <v>1861</v>
      </c>
      <c r="D5" s="1"/>
      <c r="E5" s="4"/>
      <c r="F5" s="1"/>
      <c r="G5" s="2285"/>
      <c r="H5" s="1126"/>
      <c r="I5" s="1586" t="s">
        <v>806</v>
      </c>
      <c r="J5" s="1586" t="s">
        <v>3589</v>
      </c>
      <c r="K5" s="3073" t="s">
        <v>4551</v>
      </c>
      <c r="L5" s="3074"/>
      <c r="M5" s="1583" t="s">
        <v>581</v>
      </c>
      <c r="O5" s="1585" t="s">
        <v>1045</v>
      </c>
      <c r="P5" s="3065"/>
      <c r="Q5" s="1584"/>
      <c r="R5" s="97"/>
      <c r="S5" s="97"/>
      <c r="T5" s="97"/>
      <c r="W5" s="3072"/>
      <c r="X5" s="3072"/>
      <c r="Y5" s="3072"/>
      <c r="Z5" s="3072"/>
      <c r="AA5" s="3072"/>
      <c r="AB5" s="3072"/>
      <c r="AC5" s="3072"/>
      <c r="AD5" s="3072"/>
      <c r="AE5" s="3072"/>
      <c r="AF5" s="3072"/>
      <c r="AG5" s="3072"/>
      <c r="AH5" s="3072"/>
      <c r="AI5" s="3072"/>
      <c r="AJ5" s="3072"/>
      <c r="AK5" s="3072"/>
      <c r="AL5" s="3072"/>
      <c r="AM5" s="3072"/>
      <c r="AN5" s="3072"/>
      <c r="AO5" s="3072"/>
      <c r="AP5" s="3072"/>
      <c r="AQ5" s="3072"/>
      <c r="AR5" s="3072"/>
      <c r="AS5" s="3072"/>
      <c r="AT5" s="3072"/>
      <c r="AU5" s="3072"/>
      <c r="AV5" s="3072"/>
      <c r="AW5" s="3072"/>
      <c r="AX5" s="3072"/>
      <c r="AY5" s="3072"/>
      <c r="AZ5" s="3072"/>
      <c r="BA5" s="3072"/>
      <c r="BB5" s="3072"/>
      <c r="BC5" s="3072"/>
      <c r="BD5" s="3072"/>
      <c r="BE5" s="3072"/>
      <c r="BF5" s="3072"/>
      <c r="BG5" s="3072"/>
      <c r="BH5" s="3072"/>
      <c r="BI5" s="3072"/>
      <c r="BJ5" s="3072"/>
      <c r="BK5" s="3072"/>
      <c r="BL5" s="3072"/>
      <c r="BM5" s="3072"/>
      <c r="BN5" s="3072"/>
      <c r="BO5" s="3072"/>
      <c r="BP5" s="3072"/>
      <c r="BQ5" s="3072"/>
      <c r="BR5" s="3072"/>
      <c r="BS5" s="3072"/>
      <c r="BT5" s="3072"/>
      <c r="BU5" s="3072"/>
      <c r="BV5" s="3072"/>
      <c r="BW5" s="3072"/>
      <c r="BX5" s="3072"/>
      <c r="BY5" s="3072"/>
      <c r="BZ5" s="3072"/>
      <c r="CA5" s="3072"/>
      <c r="CB5" s="3072"/>
      <c r="CC5" s="3072"/>
      <c r="CD5" s="3072"/>
      <c r="CE5" s="3069"/>
      <c r="CF5" s="3069"/>
      <c r="CG5" s="3069"/>
      <c r="CH5" s="3069"/>
      <c r="CI5" s="3069"/>
      <c r="CJ5" s="3069"/>
      <c r="CK5" s="3069"/>
      <c r="CL5" s="3069"/>
      <c r="CM5" s="3069"/>
      <c r="CN5" s="3069"/>
      <c r="CO5" s="3069"/>
      <c r="CP5" s="3069"/>
      <c r="CQ5" s="3069"/>
      <c r="CR5" s="3069"/>
      <c r="CS5" s="3069"/>
      <c r="CT5" s="3069"/>
      <c r="CU5" s="3069"/>
      <c r="CV5" s="3069"/>
      <c r="CW5" s="3069"/>
      <c r="CX5" s="3069"/>
      <c r="CY5" s="3069"/>
      <c r="CZ5" s="3069"/>
      <c r="DA5" s="3069"/>
      <c r="DB5" s="3069"/>
      <c r="DC5" s="3069"/>
      <c r="DD5" s="3069"/>
      <c r="DE5" s="3069"/>
      <c r="DF5" s="3069"/>
      <c r="DG5" s="3069"/>
      <c r="DH5" s="3069"/>
      <c r="DI5" s="3069"/>
      <c r="DJ5" s="3069"/>
      <c r="DK5" s="3069"/>
      <c r="DL5" s="3069"/>
      <c r="DM5" s="3069"/>
      <c r="DN5" s="3069"/>
      <c r="DO5" s="3069"/>
      <c r="DP5" s="3069"/>
      <c r="DQ5" s="3069"/>
      <c r="DR5" s="3069"/>
      <c r="DS5" s="3069"/>
      <c r="DT5" s="3069"/>
      <c r="DU5" s="3069"/>
      <c r="DV5" s="3069"/>
      <c r="DW5" s="3069"/>
      <c r="DX5" s="3069"/>
      <c r="DY5" s="3069"/>
      <c r="DZ5" s="3069"/>
      <c r="EA5" s="3069"/>
      <c r="EB5" s="3069"/>
      <c r="EC5" s="3069"/>
      <c r="ED5" s="3069"/>
      <c r="EE5" s="3069"/>
      <c r="EF5" s="3069"/>
      <c r="EG5" s="3069"/>
      <c r="EH5" s="3069"/>
      <c r="EI5" s="3069"/>
      <c r="EJ5" s="3069"/>
      <c r="EK5" s="3069"/>
      <c r="EL5" s="3069"/>
      <c r="EM5" s="3069"/>
      <c r="EN5" s="3069"/>
      <c r="EO5" s="3069"/>
      <c r="EP5" s="3069"/>
      <c r="EQ5" s="3069"/>
      <c r="ER5" s="3069"/>
      <c r="ES5" s="3069"/>
      <c r="ET5" s="3069"/>
      <c r="EU5" s="3069"/>
      <c r="EV5" s="3069"/>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55"/>
      <c r="IE5" s="3055"/>
      <c r="IF5" s="3055"/>
      <c r="IG5" s="3055"/>
      <c r="IH5" s="3055"/>
      <c r="II5" s="3055"/>
      <c r="IJ5" s="3055"/>
      <c r="IK5" s="3055"/>
      <c r="IL5" s="3055"/>
      <c r="IM5" s="3055"/>
      <c r="IN5" s="3055"/>
      <c r="IO5" s="3055"/>
      <c r="IP5" s="3055"/>
      <c r="IQ5" s="3055"/>
      <c r="IR5" s="3055"/>
      <c r="IS5" s="3055"/>
      <c r="IT5" s="3055"/>
      <c r="IU5" s="3055"/>
      <c r="IV5" s="3055"/>
      <c r="IW5" s="3055"/>
      <c r="IX5" s="3055"/>
      <c r="IY5" s="3055"/>
      <c r="IZ5" s="3055"/>
      <c r="JA5" s="3055"/>
      <c r="JB5" s="3055"/>
      <c r="JC5" s="3055"/>
      <c r="JD5" s="3055"/>
      <c r="JE5" s="3055"/>
      <c r="JF5" s="3055"/>
      <c r="JG5" s="3055"/>
      <c r="JH5" s="3070" t="s">
        <v>3441</v>
      </c>
      <c r="JI5" s="3070" t="s">
        <v>3442</v>
      </c>
      <c r="JJ5" s="3070" t="s">
        <v>3443</v>
      </c>
      <c r="JK5" s="3070" t="s">
        <v>3444</v>
      </c>
      <c r="JL5" s="3070" t="s">
        <v>3445</v>
      </c>
      <c r="JM5" s="3055" t="s">
        <v>3455</v>
      </c>
      <c r="JN5" s="3055" t="s">
        <v>3457</v>
      </c>
      <c r="JO5" s="3055" t="s">
        <v>3458</v>
      </c>
      <c r="JP5" s="3055" t="s">
        <v>3459</v>
      </c>
      <c r="JQ5" s="3055"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71"/>
      <c r="B6" s="30" t="s">
        <v>1818</v>
      </c>
      <c r="D6" s="1"/>
      <c r="E6" s="4"/>
      <c r="F6" s="2286"/>
      <c r="G6" s="1586" t="s">
        <v>3691</v>
      </c>
      <c r="H6" s="3065" t="s">
        <v>3922</v>
      </c>
      <c r="I6" s="1586" t="s">
        <v>807</v>
      </c>
      <c r="J6" s="1586" t="s">
        <v>3694</v>
      </c>
      <c r="K6" s="3074"/>
      <c r="L6" s="3074"/>
      <c r="M6" s="3066" t="str">
        <f>'Part I-Project Information'!$O$40</f>
        <v>Columbus</v>
      </c>
      <c r="N6" s="3066"/>
      <c r="O6" s="928">
        <f>VLOOKUP('Part I-Project Information'!$O$40,'DCA Underwriting Assumptions'!$C$155:$D$265,2)</f>
        <v>53400</v>
      </c>
      <c r="P6" s="3065"/>
      <c r="Q6" s="1584"/>
      <c r="R6" s="97"/>
      <c r="S6" s="3067" t="s">
        <v>2717</v>
      </c>
      <c r="T6" s="3067"/>
      <c r="W6" s="3072"/>
      <c r="X6" s="3072"/>
      <c r="Y6" s="3072"/>
      <c r="Z6" s="3072"/>
      <c r="AA6" s="3072"/>
      <c r="AB6" s="3072"/>
      <c r="AC6" s="3072"/>
      <c r="AD6" s="3072"/>
      <c r="AE6" s="3072"/>
      <c r="AF6" s="3072"/>
      <c r="AG6" s="3072"/>
      <c r="AH6" s="3072"/>
      <c r="AI6" s="3072"/>
      <c r="AJ6" s="3072"/>
      <c r="AK6" s="3072"/>
      <c r="AL6" s="3072"/>
      <c r="AM6" s="3072"/>
      <c r="AN6" s="3072"/>
      <c r="AO6" s="3072"/>
      <c r="AP6" s="3072"/>
      <c r="AQ6" s="3072"/>
      <c r="AR6" s="3072"/>
      <c r="AS6" s="3072"/>
      <c r="AT6" s="3072"/>
      <c r="AU6" s="3072"/>
      <c r="AV6" s="3072"/>
      <c r="AW6" s="3072"/>
      <c r="AX6" s="3072"/>
      <c r="AY6" s="3072"/>
      <c r="AZ6" s="3072"/>
      <c r="BA6" s="3072"/>
      <c r="BB6" s="3072"/>
      <c r="BC6" s="3072"/>
      <c r="BD6" s="3072"/>
      <c r="BE6" s="3072"/>
      <c r="BF6" s="3072"/>
      <c r="BG6" s="3072"/>
      <c r="BH6" s="3072"/>
      <c r="BI6" s="3072"/>
      <c r="BJ6" s="3072"/>
      <c r="BK6" s="3072"/>
      <c r="BL6" s="3072"/>
      <c r="BM6" s="3072"/>
      <c r="BN6" s="3072"/>
      <c r="BO6" s="3072"/>
      <c r="BP6" s="3072"/>
      <c r="BQ6" s="3072"/>
      <c r="BR6" s="3072"/>
      <c r="BS6" s="3072"/>
      <c r="BT6" s="3072"/>
      <c r="BU6" s="3072"/>
      <c r="BV6" s="3072"/>
      <c r="BW6" s="3072"/>
      <c r="BX6" s="3072"/>
      <c r="BY6" s="3072"/>
      <c r="BZ6" s="3072"/>
      <c r="CA6" s="3072"/>
      <c r="CB6" s="3072"/>
      <c r="CC6" s="3072"/>
      <c r="CD6" s="3072"/>
      <c r="CE6" s="3069"/>
      <c r="CF6" s="3069"/>
      <c r="CG6" s="3069"/>
      <c r="CH6" s="3069"/>
      <c r="CI6" s="3069"/>
      <c r="CJ6" s="3069"/>
      <c r="CK6" s="3069"/>
      <c r="CL6" s="3069"/>
      <c r="CM6" s="3069"/>
      <c r="CN6" s="3069"/>
      <c r="CO6" s="3069"/>
      <c r="CP6" s="3069"/>
      <c r="CQ6" s="3069"/>
      <c r="CR6" s="3069"/>
      <c r="CS6" s="3069"/>
      <c r="CT6" s="3069"/>
      <c r="CU6" s="3069"/>
      <c r="CV6" s="3069"/>
      <c r="CW6" s="3069"/>
      <c r="CX6" s="3069"/>
      <c r="CY6" s="3069"/>
      <c r="CZ6" s="3069"/>
      <c r="DA6" s="3069"/>
      <c r="DB6" s="3069"/>
      <c r="DC6" s="3069"/>
      <c r="DD6" s="3069"/>
      <c r="DE6" s="3069"/>
      <c r="DF6" s="3069"/>
      <c r="DG6" s="3069"/>
      <c r="DH6" s="3069"/>
      <c r="DI6" s="3069"/>
      <c r="DJ6" s="3069"/>
      <c r="DK6" s="3069"/>
      <c r="DL6" s="3069"/>
      <c r="DM6" s="3069"/>
      <c r="DN6" s="3069"/>
      <c r="DO6" s="3069"/>
      <c r="DP6" s="3069"/>
      <c r="DQ6" s="3069"/>
      <c r="DR6" s="3069"/>
      <c r="DS6" s="3069"/>
      <c r="DT6" s="3069"/>
      <c r="DU6" s="3069"/>
      <c r="DV6" s="3069"/>
      <c r="DW6" s="3069"/>
      <c r="DX6" s="3069"/>
      <c r="DY6" s="3069"/>
      <c r="DZ6" s="3069"/>
      <c r="EA6" s="3069"/>
      <c r="EB6" s="3069"/>
      <c r="EC6" s="3069"/>
      <c r="ED6" s="3069"/>
      <c r="EE6" s="3069"/>
      <c r="EF6" s="3069"/>
      <c r="EG6" s="3069"/>
      <c r="EH6" s="3069"/>
      <c r="EI6" s="3069"/>
      <c r="EJ6" s="3069"/>
      <c r="EK6" s="3069"/>
      <c r="EL6" s="3069"/>
      <c r="EM6" s="3069"/>
      <c r="EN6" s="3069"/>
      <c r="EO6" s="3069"/>
      <c r="EP6" s="3069"/>
      <c r="EQ6" s="3069"/>
      <c r="ER6" s="3069"/>
      <c r="ES6" s="3069"/>
      <c r="ET6" s="3069"/>
      <c r="EU6" s="3069"/>
      <c r="EV6" s="3069"/>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55"/>
      <c r="IE6" s="3055"/>
      <c r="IF6" s="3055"/>
      <c r="IG6" s="3055"/>
      <c r="IH6" s="3055"/>
      <c r="II6" s="3055"/>
      <c r="IJ6" s="3055"/>
      <c r="IK6" s="3055"/>
      <c r="IL6" s="3055"/>
      <c r="IM6" s="3055"/>
      <c r="IN6" s="3055"/>
      <c r="IO6" s="3055"/>
      <c r="IP6" s="3055"/>
      <c r="IQ6" s="3055"/>
      <c r="IR6" s="3055"/>
      <c r="IS6" s="3055"/>
      <c r="IT6" s="3055"/>
      <c r="IU6" s="3055"/>
      <c r="IV6" s="3055"/>
      <c r="IW6" s="3055"/>
      <c r="IX6" s="3055"/>
      <c r="IY6" s="3055"/>
      <c r="IZ6" s="3055"/>
      <c r="JA6" s="3055"/>
      <c r="JB6" s="3055"/>
      <c r="JC6" s="3055"/>
      <c r="JD6" s="3055"/>
      <c r="JE6" s="3055"/>
      <c r="JF6" s="3055"/>
      <c r="JG6" s="3055"/>
      <c r="JH6" s="3070"/>
      <c r="JI6" s="3070"/>
      <c r="JJ6" s="3070"/>
      <c r="JK6" s="3070"/>
      <c r="JL6" s="3070"/>
      <c r="JM6" s="3055"/>
      <c r="JN6" s="3055"/>
      <c r="JO6" s="3055"/>
      <c r="JP6" s="3055"/>
      <c r="JQ6" s="3055"/>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71"/>
      <c r="B7" s="4"/>
      <c r="C7" s="1"/>
      <c r="D7" s="4"/>
      <c r="E7" s="1"/>
      <c r="F7" s="1"/>
      <c r="G7" s="1586" t="s">
        <v>3692</v>
      </c>
      <c r="H7" s="3065"/>
      <c r="I7" s="3058" t="s">
        <v>3880</v>
      </c>
      <c r="J7" s="1586" t="s">
        <v>3695</v>
      </c>
      <c r="K7" s="919"/>
      <c r="L7" s="919"/>
      <c r="M7" s="1"/>
      <c r="P7" s="3065"/>
      <c r="Q7" s="1584"/>
      <c r="R7" s="919"/>
      <c r="S7" s="920"/>
      <c r="T7" s="925" t="s">
        <v>2714</v>
      </c>
      <c r="U7" s="431"/>
      <c r="V7" s="432"/>
      <c r="W7" s="3072"/>
      <c r="X7" s="3072"/>
      <c r="Y7" s="3072"/>
      <c r="Z7" s="3072"/>
      <c r="AA7" s="3072"/>
      <c r="AB7" s="3072"/>
      <c r="AC7" s="3072"/>
      <c r="AD7" s="3072"/>
      <c r="AE7" s="3072"/>
      <c r="AF7" s="3072"/>
      <c r="AG7" s="3072"/>
      <c r="AH7" s="3072"/>
      <c r="AI7" s="3072"/>
      <c r="AJ7" s="3072"/>
      <c r="AK7" s="3072"/>
      <c r="AL7" s="3072"/>
      <c r="AM7" s="3072"/>
      <c r="AN7" s="3072"/>
      <c r="AO7" s="3072"/>
      <c r="AP7" s="3072"/>
      <c r="AQ7" s="3072"/>
      <c r="AR7" s="3072"/>
      <c r="AS7" s="3072"/>
      <c r="AT7" s="3072"/>
      <c r="AU7" s="3072"/>
      <c r="AV7" s="3072"/>
      <c r="AW7" s="3072"/>
      <c r="AX7" s="3072"/>
      <c r="AY7" s="3072"/>
      <c r="AZ7" s="3072"/>
      <c r="BA7" s="3072"/>
      <c r="BB7" s="3072"/>
      <c r="BC7" s="3072"/>
      <c r="BD7" s="3072"/>
      <c r="BE7" s="3072"/>
      <c r="BF7" s="3072"/>
      <c r="BG7" s="3072"/>
      <c r="BH7" s="3072"/>
      <c r="BI7" s="3072"/>
      <c r="BJ7" s="3072"/>
      <c r="BK7" s="3072"/>
      <c r="BL7" s="3072"/>
      <c r="BM7" s="3072"/>
      <c r="BN7" s="3072"/>
      <c r="BO7" s="3072"/>
      <c r="BP7" s="3072"/>
      <c r="BQ7" s="3072"/>
      <c r="BR7" s="3072"/>
      <c r="BS7" s="3072"/>
      <c r="BT7" s="3072"/>
      <c r="BU7" s="3072"/>
      <c r="BV7" s="3072"/>
      <c r="BW7" s="3072"/>
      <c r="BX7" s="3072"/>
      <c r="BY7" s="3072"/>
      <c r="BZ7" s="3072"/>
      <c r="CA7" s="3072"/>
      <c r="CB7" s="3072"/>
      <c r="CC7" s="3072"/>
      <c r="CD7" s="3072"/>
      <c r="CE7" s="3069"/>
      <c r="CF7" s="3069"/>
      <c r="CG7" s="3069"/>
      <c r="CH7" s="3069"/>
      <c r="CI7" s="3069"/>
      <c r="CJ7" s="3069"/>
      <c r="CK7" s="3069"/>
      <c r="CL7" s="3069"/>
      <c r="CM7" s="3069"/>
      <c r="CN7" s="3069"/>
      <c r="CO7" s="3069"/>
      <c r="CP7" s="3069"/>
      <c r="CQ7" s="3069"/>
      <c r="CR7" s="3069"/>
      <c r="CS7" s="3069"/>
      <c r="CT7" s="3069"/>
      <c r="CU7" s="3069"/>
      <c r="CV7" s="3069"/>
      <c r="CW7" s="3069"/>
      <c r="CX7" s="3069"/>
      <c r="CY7" s="3069"/>
      <c r="CZ7" s="3069"/>
      <c r="DA7" s="3069"/>
      <c r="DB7" s="3069"/>
      <c r="DC7" s="3069"/>
      <c r="DD7" s="3069"/>
      <c r="DE7" s="3069"/>
      <c r="DF7" s="3069"/>
      <c r="DG7" s="3069"/>
      <c r="DH7" s="3069"/>
      <c r="DI7" s="3069"/>
      <c r="DJ7" s="3069"/>
      <c r="DK7" s="3069"/>
      <c r="DL7" s="3069"/>
      <c r="DM7" s="3069"/>
      <c r="DN7" s="3069"/>
      <c r="DO7" s="3069"/>
      <c r="DP7" s="3069"/>
      <c r="DQ7" s="3069"/>
      <c r="DR7" s="3069"/>
      <c r="DS7" s="3069"/>
      <c r="DT7" s="3069"/>
      <c r="DU7" s="3069"/>
      <c r="DV7" s="3069"/>
      <c r="DW7" s="3069"/>
      <c r="DX7" s="3069"/>
      <c r="DY7" s="3069"/>
      <c r="DZ7" s="3069"/>
      <c r="EA7" s="3069"/>
      <c r="EB7" s="3069"/>
      <c r="EC7" s="3069"/>
      <c r="ED7" s="3069"/>
      <c r="EE7" s="3069"/>
      <c r="EF7" s="3069"/>
      <c r="EG7" s="3069"/>
      <c r="EH7" s="3069"/>
      <c r="EI7" s="3069"/>
      <c r="EJ7" s="3069"/>
      <c r="EK7" s="3069"/>
      <c r="EL7" s="3069"/>
      <c r="EM7" s="3069"/>
      <c r="EN7" s="3069"/>
      <c r="EO7" s="3069"/>
      <c r="EP7" s="3069"/>
      <c r="EQ7" s="3069"/>
      <c r="ER7" s="3069"/>
      <c r="ES7" s="3069"/>
      <c r="ET7" s="3069"/>
      <c r="EU7" s="3069"/>
      <c r="EV7" s="3069"/>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55"/>
      <c r="IE7" s="3055"/>
      <c r="IF7" s="3055"/>
      <c r="IG7" s="3055"/>
      <c r="IH7" s="3055"/>
      <c r="II7" s="3055"/>
      <c r="IJ7" s="3055"/>
      <c r="IK7" s="3055"/>
      <c r="IL7" s="3055"/>
      <c r="IM7" s="3055"/>
      <c r="IN7" s="3055"/>
      <c r="IO7" s="3055"/>
      <c r="IP7" s="3055"/>
      <c r="IQ7" s="3055"/>
      <c r="IR7" s="3055"/>
      <c r="IS7" s="3055"/>
      <c r="IT7" s="3055"/>
      <c r="IU7" s="3055"/>
      <c r="IV7" s="3055"/>
      <c r="IW7" s="3055"/>
      <c r="IX7" s="3055"/>
      <c r="IY7" s="3055"/>
      <c r="IZ7" s="3055"/>
      <c r="JA7" s="3055"/>
      <c r="JB7" s="3055"/>
      <c r="JC7" s="3055"/>
      <c r="JD7" s="3055"/>
      <c r="JE7" s="3055"/>
      <c r="JF7" s="3055"/>
      <c r="JG7" s="3055"/>
      <c r="JH7" s="3070"/>
      <c r="JI7" s="3070"/>
      <c r="JJ7" s="3070"/>
      <c r="JK7" s="3070"/>
      <c r="JL7" s="3070"/>
      <c r="JM7" s="3055"/>
      <c r="JN7" s="3055"/>
      <c r="JO7" s="3055"/>
      <c r="JP7" s="3055"/>
      <c r="JQ7" s="3055"/>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71"/>
      <c r="B8" s="1158" t="s">
        <v>1490</v>
      </c>
      <c r="C8" s="1586" t="s">
        <v>173</v>
      </c>
      <c r="D8" s="1586" t="s">
        <v>550</v>
      </c>
      <c r="E8" s="1586" t="s">
        <v>1488</v>
      </c>
      <c r="F8" s="1586" t="s">
        <v>1488</v>
      </c>
      <c r="G8" s="1586" t="s">
        <v>1490</v>
      </c>
      <c r="H8" s="1586" t="s">
        <v>3692</v>
      </c>
      <c r="I8" s="3058"/>
      <c r="J8" s="1586" t="s">
        <v>2423</v>
      </c>
      <c r="K8" s="3068" t="s">
        <v>146</v>
      </c>
      <c r="L8" s="3068"/>
      <c r="M8" s="1586" t="s">
        <v>2384</v>
      </c>
      <c r="N8" s="1586" t="s">
        <v>537</v>
      </c>
      <c r="O8" s="1586" t="s">
        <v>385</v>
      </c>
      <c r="P8" s="3065"/>
      <c r="Q8" s="3068" t="s">
        <v>3599</v>
      </c>
      <c r="R8" s="3068"/>
      <c r="S8" s="1586" t="s">
        <v>2713</v>
      </c>
      <c r="T8" s="1586" t="s">
        <v>2715</v>
      </c>
      <c r="U8" s="433"/>
      <c r="V8" s="434"/>
      <c r="W8" s="3072"/>
      <c r="X8" s="3072"/>
      <c r="Y8" s="3072"/>
      <c r="Z8" s="3072"/>
      <c r="AA8" s="3072"/>
      <c r="AB8" s="3072"/>
      <c r="AC8" s="3072"/>
      <c r="AD8" s="3072"/>
      <c r="AE8" s="3072"/>
      <c r="AF8" s="3072"/>
      <c r="AG8" s="3072"/>
      <c r="AH8" s="3072"/>
      <c r="AI8" s="3072"/>
      <c r="AJ8" s="3072"/>
      <c r="AK8" s="3072"/>
      <c r="AL8" s="3072"/>
      <c r="AM8" s="3072"/>
      <c r="AN8" s="3072"/>
      <c r="AO8" s="3072"/>
      <c r="AP8" s="3072"/>
      <c r="AQ8" s="3072"/>
      <c r="AR8" s="3072"/>
      <c r="AS8" s="3072"/>
      <c r="AT8" s="3072"/>
      <c r="AU8" s="3072"/>
      <c r="AV8" s="3072"/>
      <c r="AW8" s="3072"/>
      <c r="AX8" s="3072"/>
      <c r="AY8" s="3072"/>
      <c r="AZ8" s="3072"/>
      <c r="BA8" s="3072"/>
      <c r="BB8" s="3072"/>
      <c r="BC8" s="3072"/>
      <c r="BD8" s="3072"/>
      <c r="BE8" s="3072"/>
      <c r="BF8" s="3072"/>
      <c r="BG8" s="3072"/>
      <c r="BH8" s="3072"/>
      <c r="BI8" s="3072"/>
      <c r="BJ8" s="3072"/>
      <c r="BK8" s="3072"/>
      <c r="BL8" s="3072"/>
      <c r="BM8" s="3072"/>
      <c r="BN8" s="3072"/>
      <c r="BO8" s="3072"/>
      <c r="BP8" s="3072"/>
      <c r="BQ8" s="3072"/>
      <c r="BR8" s="3072"/>
      <c r="BS8" s="3072"/>
      <c r="BT8" s="3072"/>
      <c r="BU8" s="3072"/>
      <c r="BV8" s="3072"/>
      <c r="BW8" s="3072"/>
      <c r="BX8" s="3072"/>
      <c r="BY8" s="3072"/>
      <c r="BZ8" s="3072"/>
      <c r="CA8" s="3072"/>
      <c r="CB8" s="3072"/>
      <c r="CC8" s="3072"/>
      <c r="CD8" s="3072"/>
      <c r="CE8" s="3069"/>
      <c r="CF8" s="3069"/>
      <c r="CG8" s="3069"/>
      <c r="CH8" s="3069"/>
      <c r="CI8" s="3069"/>
      <c r="CJ8" s="3069"/>
      <c r="CK8" s="3069"/>
      <c r="CL8" s="3069"/>
      <c r="CM8" s="3069"/>
      <c r="CN8" s="3069"/>
      <c r="CO8" s="3069"/>
      <c r="CP8" s="3069"/>
      <c r="CQ8" s="3069"/>
      <c r="CR8" s="3069"/>
      <c r="CS8" s="3069"/>
      <c r="CT8" s="3069"/>
      <c r="CU8" s="3069"/>
      <c r="CV8" s="3069"/>
      <c r="CW8" s="3069"/>
      <c r="CX8" s="3069"/>
      <c r="CY8" s="3069"/>
      <c r="CZ8" s="3069"/>
      <c r="DA8" s="3069"/>
      <c r="DB8" s="3069"/>
      <c r="DC8" s="3069"/>
      <c r="DD8" s="3069"/>
      <c r="DE8" s="3069"/>
      <c r="DF8" s="3069"/>
      <c r="DG8" s="3069"/>
      <c r="DH8" s="3069"/>
      <c r="DI8" s="3069"/>
      <c r="DJ8" s="3069"/>
      <c r="DK8" s="3069"/>
      <c r="DL8" s="3069"/>
      <c r="DM8" s="3069"/>
      <c r="DN8" s="3069"/>
      <c r="DO8" s="3069"/>
      <c r="DP8" s="3069"/>
      <c r="DQ8" s="3069"/>
      <c r="DR8" s="3069"/>
      <c r="DS8" s="3069"/>
      <c r="DT8" s="3069"/>
      <c r="DU8" s="3069"/>
      <c r="DV8" s="3069"/>
      <c r="DW8" s="3069"/>
      <c r="DX8" s="3069"/>
      <c r="DY8" s="3069"/>
      <c r="DZ8" s="3069"/>
      <c r="EA8" s="3069"/>
      <c r="EB8" s="3069"/>
      <c r="EC8" s="3069"/>
      <c r="ED8" s="3069"/>
      <c r="EE8" s="3069"/>
      <c r="EF8" s="3069"/>
      <c r="EG8" s="3069"/>
      <c r="EH8" s="3069"/>
      <c r="EI8" s="3069"/>
      <c r="EJ8" s="3069"/>
      <c r="EK8" s="3069"/>
      <c r="EL8" s="3069"/>
      <c r="EM8" s="3069"/>
      <c r="EN8" s="3069"/>
      <c r="EO8" s="3069"/>
      <c r="EP8" s="3069"/>
      <c r="EQ8" s="3069"/>
      <c r="ER8" s="3069"/>
      <c r="ES8" s="3069"/>
      <c r="ET8" s="3069"/>
      <c r="EU8" s="3069"/>
      <c r="EV8" s="3069"/>
      <c r="EW8" s="3069" t="s">
        <v>1474</v>
      </c>
      <c r="EX8" s="473" t="s">
        <v>2457</v>
      </c>
      <c r="EY8" s="473" t="s">
        <v>2458</v>
      </c>
      <c r="EZ8" s="473" t="s">
        <v>2459</v>
      </c>
      <c r="FA8" s="473" t="s">
        <v>2460</v>
      </c>
      <c r="FB8" s="3055" t="s">
        <v>2514</v>
      </c>
      <c r="FC8" s="3055" t="s">
        <v>2514</v>
      </c>
      <c r="FD8" s="3055" t="s">
        <v>2514</v>
      </c>
      <c r="FE8" s="3055" t="s">
        <v>2514</v>
      </c>
      <c r="FF8" s="3055" t="s">
        <v>2514</v>
      </c>
      <c r="FG8" s="3055" t="s">
        <v>3389</v>
      </c>
      <c r="FH8" s="3055" t="s">
        <v>3389</v>
      </c>
      <c r="FI8" s="3055" t="s">
        <v>3389</v>
      </c>
      <c r="FJ8" s="3055" t="s">
        <v>3389</v>
      </c>
      <c r="FK8" s="3055" t="s">
        <v>3389</v>
      </c>
      <c r="FL8" s="473" t="s">
        <v>573</v>
      </c>
      <c r="FM8" s="473" t="s">
        <v>2457</v>
      </c>
      <c r="FN8" s="473" t="s">
        <v>2458</v>
      </c>
      <c r="FO8" s="473" t="s">
        <v>2459</v>
      </c>
      <c r="FP8" s="473" t="s">
        <v>2460</v>
      </c>
      <c r="FQ8" s="473" t="s">
        <v>573</v>
      </c>
      <c r="FR8" s="473" t="s">
        <v>2457</v>
      </c>
      <c r="FS8" s="473" t="s">
        <v>2458</v>
      </c>
      <c r="FT8" s="473" t="s">
        <v>2459</v>
      </c>
      <c r="FU8" s="473" t="s">
        <v>2460</v>
      </c>
      <c r="FV8" s="3055" t="s">
        <v>2516</v>
      </c>
      <c r="FW8" s="3055" t="s">
        <v>2516</v>
      </c>
      <c r="FX8" s="3055" t="s">
        <v>2516</v>
      </c>
      <c r="FY8" s="3055" t="s">
        <v>2516</v>
      </c>
      <c r="FZ8" s="3055" t="s">
        <v>2516</v>
      </c>
      <c r="GA8" s="3055" t="s">
        <v>3385</v>
      </c>
      <c r="GB8" s="3055" t="s">
        <v>3385</v>
      </c>
      <c r="GC8" s="3055" t="s">
        <v>3385</v>
      </c>
      <c r="GD8" s="3055" t="s">
        <v>3385</v>
      </c>
      <c r="GE8" s="3055" t="s">
        <v>3385</v>
      </c>
      <c r="GF8" s="3055" t="s">
        <v>360</v>
      </c>
      <c r="GG8" s="3055" t="s">
        <v>360</v>
      </c>
      <c r="GH8" s="3055" t="s">
        <v>360</v>
      </c>
      <c r="GI8" s="3055" t="s">
        <v>360</v>
      </c>
      <c r="GJ8" s="3055" t="s">
        <v>360</v>
      </c>
      <c r="GK8" s="3055" t="s">
        <v>3384</v>
      </c>
      <c r="GL8" s="3055" t="s">
        <v>3384</v>
      </c>
      <c r="GM8" s="3055" t="s">
        <v>3384</v>
      </c>
      <c r="GN8" s="3055" t="s">
        <v>3384</v>
      </c>
      <c r="GO8" s="3055" t="s">
        <v>3384</v>
      </c>
      <c r="GP8" s="3055" t="s">
        <v>361</v>
      </c>
      <c r="GQ8" s="3055" t="s">
        <v>361</v>
      </c>
      <c r="GR8" s="3055" t="s">
        <v>361</v>
      </c>
      <c r="GS8" s="3055" t="s">
        <v>361</v>
      </c>
      <c r="GT8" s="3055" t="s">
        <v>361</v>
      </c>
      <c r="GU8" s="3055" t="s">
        <v>3383</v>
      </c>
      <c r="GV8" s="3055" t="s">
        <v>3383</v>
      </c>
      <c r="GW8" s="3055" t="s">
        <v>3383</v>
      </c>
      <c r="GX8" s="3055" t="s">
        <v>3383</v>
      </c>
      <c r="GY8" s="3055" t="s">
        <v>3383</v>
      </c>
      <c r="GZ8" s="3055" t="s">
        <v>362</v>
      </c>
      <c r="HA8" s="3055" t="s">
        <v>362</v>
      </c>
      <c r="HB8" s="3055" t="s">
        <v>362</v>
      </c>
      <c r="HC8" s="3055" t="s">
        <v>362</v>
      </c>
      <c r="HD8" s="3055" t="s">
        <v>362</v>
      </c>
      <c r="HE8" s="3055" t="s">
        <v>3386</v>
      </c>
      <c r="HF8" s="3055" t="s">
        <v>3386</v>
      </c>
      <c r="HG8" s="3055" t="s">
        <v>3386</v>
      </c>
      <c r="HH8" s="3055" t="s">
        <v>3386</v>
      </c>
      <c r="HI8" s="3055" t="s">
        <v>3386</v>
      </c>
      <c r="HJ8" s="3055" t="s">
        <v>363</v>
      </c>
      <c r="HK8" s="3055" t="s">
        <v>363</v>
      </c>
      <c r="HL8" s="3055" t="s">
        <v>363</v>
      </c>
      <c r="HM8" s="3055" t="s">
        <v>363</v>
      </c>
      <c r="HN8" s="3055" t="s">
        <v>363</v>
      </c>
      <c r="HO8" s="3055" t="s">
        <v>3387</v>
      </c>
      <c r="HP8" s="3055" t="s">
        <v>3387</v>
      </c>
      <c r="HQ8" s="3055" t="s">
        <v>3387</v>
      </c>
      <c r="HR8" s="3055" t="s">
        <v>3387</v>
      </c>
      <c r="HS8" s="3055" t="s">
        <v>3387</v>
      </c>
      <c r="HT8" s="3055" t="s">
        <v>1473</v>
      </c>
      <c r="HU8" s="3055" t="s">
        <v>1473</v>
      </c>
      <c r="HV8" s="3055" t="s">
        <v>1473</v>
      </c>
      <c r="HW8" s="3055" t="s">
        <v>1473</v>
      </c>
      <c r="HX8" s="3055" t="s">
        <v>1473</v>
      </c>
      <c r="HY8" s="3055" t="s">
        <v>3388</v>
      </c>
      <c r="HZ8" s="3055" t="s">
        <v>3388</v>
      </c>
      <c r="IA8" s="3055" t="s">
        <v>3388</v>
      </c>
      <c r="IB8" s="3055" t="s">
        <v>3388</v>
      </c>
      <c r="IC8" s="3055" t="s">
        <v>3388</v>
      </c>
      <c r="ID8" s="3055"/>
      <c r="IE8" s="3055"/>
      <c r="IF8" s="3055"/>
      <c r="IG8" s="3055"/>
      <c r="IH8" s="3055"/>
      <c r="II8" s="3055"/>
      <c r="IJ8" s="3055"/>
      <c r="IK8" s="3055"/>
      <c r="IL8" s="3055"/>
      <c r="IM8" s="3055"/>
      <c r="IN8" s="3055"/>
      <c r="IO8" s="3055"/>
      <c r="IP8" s="3055"/>
      <c r="IQ8" s="3055"/>
      <c r="IR8" s="3055"/>
      <c r="IS8" s="3055"/>
      <c r="IT8" s="3055"/>
      <c r="IU8" s="3055"/>
      <c r="IV8" s="3055"/>
      <c r="IW8" s="3055"/>
      <c r="IX8" s="3055"/>
      <c r="IY8" s="3055"/>
      <c r="IZ8" s="3055"/>
      <c r="JA8" s="3055"/>
      <c r="JB8" s="3055"/>
      <c r="JC8" s="3055"/>
      <c r="JD8" s="3055"/>
      <c r="JE8" s="3055"/>
      <c r="JF8" s="3055"/>
      <c r="JG8" s="3055"/>
      <c r="JH8" s="3070"/>
      <c r="JI8" s="3070"/>
      <c r="JJ8" s="3070"/>
      <c r="JK8" s="3070"/>
      <c r="JL8" s="3070"/>
      <c r="JM8" s="3055"/>
      <c r="JN8" s="3055"/>
      <c r="JO8" s="3055"/>
      <c r="JP8" s="3055"/>
      <c r="JQ8" s="3055"/>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71"/>
      <c r="B9" s="1158" t="s">
        <v>1308</v>
      </c>
      <c r="C9" s="1586" t="s">
        <v>172</v>
      </c>
      <c r="D9" s="1586" t="s">
        <v>174</v>
      </c>
      <c r="E9" s="1586" t="s">
        <v>1489</v>
      </c>
      <c r="F9" s="1586" t="s">
        <v>1291</v>
      </c>
      <c r="G9" s="1586" t="s">
        <v>3693</v>
      </c>
      <c r="H9" s="1586" t="s">
        <v>1490</v>
      </c>
      <c r="I9" s="3059"/>
      <c r="J9" s="465" t="s">
        <v>352</v>
      </c>
      <c r="K9" s="1586" t="s">
        <v>1542</v>
      </c>
      <c r="L9" s="1586" t="s">
        <v>544</v>
      </c>
      <c r="M9" s="1586" t="s">
        <v>1488</v>
      </c>
      <c r="N9" s="1586" t="s">
        <v>3338</v>
      </c>
      <c r="O9" s="1586" t="s">
        <v>386</v>
      </c>
      <c r="P9" s="3076"/>
      <c r="Q9" s="1586" t="s">
        <v>3600</v>
      </c>
      <c r="R9" s="1586" t="s">
        <v>1050</v>
      </c>
      <c r="S9" s="1586" t="s">
        <v>1490</v>
      </c>
      <c r="T9" s="1586" t="s">
        <v>2716</v>
      </c>
      <c r="U9" s="2773" t="s">
        <v>1860</v>
      </c>
      <c r="V9" s="2773"/>
      <c r="W9" s="3072"/>
      <c r="X9" s="3072"/>
      <c r="Y9" s="3072"/>
      <c r="Z9" s="3072"/>
      <c r="AA9" s="3072"/>
      <c r="AB9" s="3072"/>
      <c r="AC9" s="3072"/>
      <c r="AD9" s="3072"/>
      <c r="AE9" s="3072"/>
      <c r="AF9" s="3072"/>
      <c r="AG9" s="3072"/>
      <c r="AH9" s="3072"/>
      <c r="AI9" s="3072"/>
      <c r="AJ9" s="3072"/>
      <c r="AK9" s="3072"/>
      <c r="AL9" s="3072"/>
      <c r="AM9" s="3072"/>
      <c r="AN9" s="3072"/>
      <c r="AO9" s="3072"/>
      <c r="AP9" s="3072"/>
      <c r="AQ9" s="3072"/>
      <c r="AR9" s="3072"/>
      <c r="AS9" s="3072"/>
      <c r="AT9" s="3072"/>
      <c r="AU9" s="3072"/>
      <c r="AV9" s="3072"/>
      <c r="AW9" s="3072"/>
      <c r="AX9" s="3072"/>
      <c r="AY9" s="3072"/>
      <c r="AZ9" s="3072"/>
      <c r="BA9" s="3072"/>
      <c r="BB9" s="3072"/>
      <c r="BC9" s="3072"/>
      <c r="BD9" s="3072"/>
      <c r="BE9" s="3072"/>
      <c r="BF9" s="3072"/>
      <c r="BG9" s="3072"/>
      <c r="BH9" s="3072"/>
      <c r="BI9" s="3072"/>
      <c r="BJ9" s="3072"/>
      <c r="BK9" s="3072"/>
      <c r="BL9" s="3072"/>
      <c r="BM9" s="3072"/>
      <c r="BN9" s="3072"/>
      <c r="BO9" s="3072"/>
      <c r="BP9" s="3072"/>
      <c r="BQ9" s="3072"/>
      <c r="BR9" s="3072"/>
      <c r="BS9" s="3072"/>
      <c r="BT9" s="3072"/>
      <c r="BU9" s="3072"/>
      <c r="BV9" s="3072"/>
      <c r="BW9" s="3072"/>
      <c r="BX9" s="3072"/>
      <c r="BY9" s="3072"/>
      <c r="BZ9" s="3072"/>
      <c r="CA9" s="3072"/>
      <c r="CB9" s="3072"/>
      <c r="CC9" s="3072"/>
      <c r="CD9" s="3072"/>
      <c r="CE9" s="3069"/>
      <c r="CF9" s="3069"/>
      <c r="CG9" s="3069"/>
      <c r="CH9" s="3069"/>
      <c r="CI9" s="3069"/>
      <c r="CJ9" s="3069"/>
      <c r="CK9" s="3069"/>
      <c r="CL9" s="3069"/>
      <c r="CM9" s="3069"/>
      <c r="CN9" s="3069"/>
      <c r="CO9" s="3069"/>
      <c r="CP9" s="3069"/>
      <c r="CQ9" s="3069"/>
      <c r="CR9" s="3069"/>
      <c r="CS9" s="3069"/>
      <c r="CT9" s="3069"/>
      <c r="CU9" s="3069"/>
      <c r="CV9" s="3069"/>
      <c r="CW9" s="3069"/>
      <c r="CX9" s="3069"/>
      <c r="CY9" s="3069"/>
      <c r="CZ9" s="3069"/>
      <c r="DA9" s="3069"/>
      <c r="DB9" s="3069"/>
      <c r="DC9" s="3069"/>
      <c r="DD9" s="3069"/>
      <c r="DE9" s="3069"/>
      <c r="DF9" s="3069"/>
      <c r="DG9" s="3069"/>
      <c r="DH9" s="3069"/>
      <c r="DI9" s="3069"/>
      <c r="DJ9" s="3069"/>
      <c r="DK9" s="3069"/>
      <c r="DL9" s="3069"/>
      <c r="DM9" s="3069"/>
      <c r="DN9" s="3069"/>
      <c r="DO9" s="3069"/>
      <c r="DP9" s="3069"/>
      <c r="DQ9" s="3069"/>
      <c r="DR9" s="3069"/>
      <c r="DS9" s="3069"/>
      <c r="DT9" s="3069"/>
      <c r="DU9" s="3069"/>
      <c r="DV9" s="3069"/>
      <c r="DW9" s="3069"/>
      <c r="DX9" s="3069"/>
      <c r="DY9" s="3069"/>
      <c r="DZ9" s="3069"/>
      <c r="EA9" s="3069"/>
      <c r="EB9" s="3069"/>
      <c r="EC9" s="3069"/>
      <c r="ED9" s="3069"/>
      <c r="EE9" s="3069"/>
      <c r="EF9" s="3069"/>
      <c r="EG9" s="3069"/>
      <c r="EH9" s="3069"/>
      <c r="EI9" s="3069"/>
      <c r="EJ9" s="3069"/>
      <c r="EK9" s="3069"/>
      <c r="EL9" s="3069"/>
      <c r="EM9" s="3069"/>
      <c r="EN9" s="3069"/>
      <c r="EO9" s="3069"/>
      <c r="EP9" s="3069"/>
      <c r="EQ9" s="3069"/>
      <c r="ER9" s="3069"/>
      <c r="ES9" s="3069"/>
      <c r="ET9" s="3069"/>
      <c r="EU9" s="3069"/>
      <c r="EV9" s="3069"/>
      <c r="EW9" s="3069"/>
      <c r="EX9" s="473" t="s">
        <v>2513</v>
      </c>
      <c r="EY9" s="473" t="s">
        <v>2513</v>
      </c>
      <c r="EZ9" s="473" t="s">
        <v>2513</v>
      </c>
      <c r="FA9" s="473" t="s">
        <v>2513</v>
      </c>
      <c r="FB9" s="3055"/>
      <c r="FC9" s="3055"/>
      <c r="FD9" s="3055"/>
      <c r="FE9" s="3055"/>
      <c r="FF9" s="3055"/>
      <c r="FG9" s="3055"/>
      <c r="FH9" s="3055"/>
      <c r="FI9" s="3055"/>
      <c r="FJ9" s="3055"/>
      <c r="FK9" s="3055"/>
      <c r="FL9" s="473" t="s">
        <v>2515</v>
      </c>
      <c r="FM9" s="473" t="s">
        <v>2515</v>
      </c>
      <c r="FN9" s="473" t="s">
        <v>2515</v>
      </c>
      <c r="FO9" s="473" t="s">
        <v>2515</v>
      </c>
      <c r="FP9" s="473" t="s">
        <v>2515</v>
      </c>
      <c r="FQ9" s="473" t="s">
        <v>3390</v>
      </c>
      <c r="FR9" s="473" t="s">
        <v>3390</v>
      </c>
      <c r="FS9" s="473" t="s">
        <v>3390</v>
      </c>
      <c r="FT9" s="473" t="s">
        <v>3390</v>
      </c>
      <c r="FU9" s="473" t="s">
        <v>3390</v>
      </c>
      <c r="FV9" s="3055"/>
      <c r="FW9" s="3055"/>
      <c r="FX9" s="3055"/>
      <c r="FY9" s="3055"/>
      <c r="FZ9" s="3055"/>
      <c r="GA9" s="3055"/>
      <c r="GB9" s="3055"/>
      <c r="GC9" s="3055"/>
      <c r="GD9" s="3055"/>
      <c r="GE9" s="3055"/>
      <c r="GF9" s="3055"/>
      <c r="GG9" s="3055"/>
      <c r="GH9" s="3055"/>
      <c r="GI9" s="3055"/>
      <c r="GJ9" s="3055"/>
      <c r="GK9" s="3055"/>
      <c r="GL9" s="3055"/>
      <c r="GM9" s="3055"/>
      <c r="GN9" s="3055"/>
      <c r="GO9" s="3055"/>
      <c r="GP9" s="3055"/>
      <c r="GQ9" s="3055"/>
      <c r="GR9" s="3055"/>
      <c r="GS9" s="3055"/>
      <c r="GT9" s="3055"/>
      <c r="GU9" s="3055"/>
      <c r="GV9" s="3055"/>
      <c r="GW9" s="3055"/>
      <c r="GX9" s="3055"/>
      <c r="GY9" s="3055"/>
      <c r="GZ9" s="3055"/>
      <c r="HA9" s="3055"/>
      <c r="HB9" s="3055"/>
      <c r="HC9" s="3055"/>
      <c r="HD9" s="3055"/>
      <c r="HE9" s="3055"/>
      <c r="HF9" s="3055"/>
      <c r="HG9" s="3055"/>
      <c r="HH9" s="3055"/>
      <c r="HI9" s="3055"/>
      <c r="HJ9" s="3055"/>
      <c r="HK9" s="3055"/>
      <c r="HL9" s="3055"/>
      <c r="HM9" s="3055"/>
      <c r="HN9" s="3055"/>
      <c r="HO9" s="3055"/>
      <c r="HP9" s="3055"/>
      <c r="HQ9" s="3055"/>
      <c r="HR9" s="3055"/>
      <c r="HS9" s="3055"/>
      <c r="HT9" s="3055"/>
      <c r="HU9" s="3055"/>
      <c r="HV9" s="3055"/>
      <c r="HW9" s="3055"/>
      <c r="HX9" s="3055"/>
      <c r="HY9" s="3055"/>
      <c r="HZ9" s="3055"/>
      <c r="IA9" s="3055"/>
      <c r="IB9" s="3055"/>
      <c r="IC9" s="3055"/>
      <c r="ID9" s="3055"/>
      <c r="IE9" s="3055"/>
      <c r="IF9" s="3055"/>
      <c r="IG9" s="3055"/>
      <c r="IH9" s="3055"/>
      <c r="II9" s="3055"/>
      <c r="IJ9" s="3055"/>
      <c r="IK9" s="3055"/>
      <c r="IL9" s="3055"/>
      <c r="IM9" s="3055"/>
      <c r="IN9" s="3055"/>
      <c r="IO9" s="3055"/>
      <c r="IP9" s="3055"/>
      <c r="IQ9" s="3055"/>
      <c r="IR9" s="3055"/>
      <c r="IS9" s="3055"/>
      <c r="IT9" s="3055"/>
      <c r="IU9" s="3055"/>
      <c r="IV9" s="3055"/>
      <c r="IW9" s="3055"/>
      <c r="IX9" s="3055"/>
      <c r="IY9" s="3055"/>
      <c r="IZ9" s="3055"/>
      <c r="JA9" s="3055"/>
      <c r="JB9" s="3055"/>
      <c r="JC9" s="3055"/>
      <c r="JD9" s="3055"/>
      <c r="JE9" s="3055"/>
      <c r="JF9" s="3055"/>
      <c r="JG9" s="3055"/>
      <c r="JH9" s="3070"/>
      <c r="JI9" s="3070"/>
      <c r="JJ9" s="3070"/>
      <c r="JK9" s="3070"/>
      <c r="JL9" s="3070"/>
      <c r="JM9" s="3055"/>
      <c r="JN9" s="3055"/>
      <c r="JO9" s="3055"/>
      <c r="JP9" s="3055"/>
      <c r="JQ9" s="3055"/>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7" t="s">
        <v>119</v>
      </c>
      <c r="C10" s="2288">
        <v>1</v>
      </c>
      <c r="D10" s="2289">
        <v>1</v>
      </c>
      <c r="E10" s="2290">
        <v>4</v>
      </c>
      <c r="F10" s="2290">
        <v>836</v>
      </c>
      <c r="G10" s="2290">
        <v>501</v>
      </c>
      <c r="H10" s="2290">
        <v>501</v>
      </c>
      <c r="I10" s="2291">
        <f>IF(C10="",0,HLOOKUP(C10,'Part V-Utility Allowances'!$I$11:$M$21,11))</f>
        <v>114</v>
      </c>
      <c r="J10" s="2292"/>
      <c r="K10" s="629">
        <f t="shared" ref="K10:K47" si="1">MAX(0,H10-I10)</f>
        <v>387</v>
      </c>
      <c r="L10" s="629">
        <f t="shared" ref="L10:L47" si="2">MAX(0,E10*K10)</f>
        <v>1548</v>
      </c>
      <c r="M10" s="2293" t="s">
        <v>3015</v>
      </c>
      <c r="N10" s="2293" t="s">
        <v>4616</v>
      </c>
      <c r="O10" s="2293" t="s">
        <v>2312</v>
      </c>
      <c r="P10" s="2294" t="s">
        <v>3015</v>
      </c>
      <c r="Q10" s="2295">
        <f t="shared" ref="Q10:Q47" si="3">IF(H10="","",H10*12/0.3)</f>
        <v>20040</v>
      </c>
      <c r="R10" s="2296">
        <f>IF(H10="","",IF(C10="Efficiency",Q10/($O$6*VLOOKUP(0,'DCA Underwriting Assumptions'!$J$143:$K$148,2,FALSE)),Q10/($O$6*VLOOKUP(C10,'DCA Underwriting Assumptions'!$J$143:$K$148,2,FALSE))))</f>
        <v>0.50037453183520597</v>
      </c>
      <c r="S10" s="2297"/>
      <c r="T10" s="2298"/>
      <c r="U10" s="3016"/>
      <c r="V10" s="30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4</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3344</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4</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4</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4</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9" t="s">
        <v>119</v>
      </c>
      <c r="C11" s="2300">
        <v>2</v>
      </c>
      <c r="D11" s="2301">
        <v>2</v>
      </c>
      <c r="E11" s="2302">
        <v>9</v>
      </c>
      <c r="F11" s="2302">
        <v>1091</v>
      </c>
      <c r="G11" s="2302">
        <v>601</v>
      </c>
      <c r="H11" s="2302">
        <v>601</v>
      </c>
      <c r="I11" s="2303">
        <f>IF(C11="",0,HLOOKUP(C11,'Part V-Utility Allowances'!$I$11:$M$21,11))</f>
        <v>142</v>
      </c>
      <c r="J11" s="2304"/>
      <c r="K11" s="630">
        <f t="shared" si="1"/>
        <v>459</v>
      </c>
      <c r="L11" s="630">
        <f t="shared" si="2"/>
        <v>4131</v>
      </c>
      <c r="M11" s="2293" t="s">
        <v>3015</v>
      </c>
      <c r="N11" s="2293" t="s">
        <v>4616</v>
      </c>
      <c r="O11" s="2293" t="s">
        <v>2312</v>
      </c>
      <c r="P11" s="2294" t="s">
        <v>3015</v>
      </c>
      <c r="Q11" s="2305">
        <f t="shared" si="3"/>
        <v>24040</v>
      </c>
      <c r="R11" s="2306">
        <f>IF(H11="","",IF(C11="Efficiency",Q11/($O$6*VLOOKUP(0,'DCA Underwriting Assumptions'!$J$143:$K$148,2,FALSE)),Q11/($O$6*VLOOKUP(C11,'DCA Underwriting Assumptions'!$J$143:$K$148,2,FALSE))))</f>
        <v>0.50020807324178107</v>
      </c>
      <c r="S11" s="2307"/>
      <c r="T11" s="2308"/>
      <c r="U11" s="3012"/>
      <c r="V11" s="3014"/>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9819</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9</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9" t="s">
        <v>119</v>
      </c>
      <c r="C12" s="2300">
        <v>3</v>
      </c>
      <c r="D12" s="2301">
        <v>2</v>
      </c>
      <c r="E12" s="2302">
        <v>4</v>
      </c>
      <c r="F12" s="2302">
        <v>1271</v>
      </c>
      <c r="G12" s="2302">
        <v>694</v>
      </c>
      <c r="H12" s="2302">
        <v>694</v>
      </c>
      <c r="I12" s="2303">
        <f>IF(C12="",0,HLOOKUP(C12,'Part V-Utility Allowances'!$I$11:$M$21,11))</f>
        <v>189</v>
      </c>
      <c r="J12" s="2304"/>
      <c r="K12" s="630">
        <f t="shared" si="1"/>
        <v>505</v>
      </c>
      <c r="L12" s="630">
        <f t="shared" si="2"/>
        <v>2020</v>
      </c>
      <c r="M12" s="2293" t="s">
        <v>3015</v>
      </c>
      <c r="N12" s="2293" t="s">
        <v>4616</v>
      </c>
      <c r="O12" s="2293" t="s">
        <v>2312</v>
      </c>
      <c r="P12" s="2294" t="s">
        <v>3015</v>
      </c>
      <c r="Q12" s="2305">
        <f t="shared" si="3"/>
        <v>27760</v>
      </c>
      <c r="R12" s="2306">
        <f>IF(H12="","",IF(C12="Efficiency",Q12/($O$6*VLOOKUP(0,'DCA Underwriting Assumptions'!$J$143:$K$148,2,FALSE)),Q12/($O$6*VLOOKUP(C12,'DCA Underwriting Assumptions'!$J$143:$K$148,2,FALSE))))</f>
        <v>0.49985594929415156</v>
      </c>
      <c r="S12" s="2307"/>
      <c r="T12" s="2308"/>
      <c r="U12" s="3012"/>
      <c r="V12" s="3014"/>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4</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5084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4</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4</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4</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4</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9" t="s">
        <v>1159</v>
      </c>
      <c r="C13" s="2300">
        <v>1</v>
      </c>
      <c r="D13" s="2301">
        <v>1</v>
      </c>
      <c r="E13" s="2302">
        <v>4</v>
      </c>
      <c r="F13" s="2302">
        <v>836</v>
      </c>
      <c r="G13" s="2302">
        <v>601</v>
      </c>
      <c r="H13" s="2302">
        <v>601</v>
      </c>
      <c r="I13" s="2303">
        <f>IF(C13="",0,HLOOKUP(C13,'Part V-Utility Allowances'!$I$11:$M$21,11))</f>
        <v>114</v>
      </c>
      <c r="J13" s="2304"/>
      <c r="K13" s="630">
        <f t="shared" si="1"/>
        <v>487</v>
      </c>
      <c r="L13" s="630">
        <f t="shared" si="2"/>
        <v>1948</v>
      </c>
      <c r="M13" s="2293" t="s">
        <v>3015</v>
      </c>
      <c r="N13" s="2293" t="s">
        <v>4616</v>
      </c>
      <c r="O13" s="2293" t="s">
        <v>2312</v>
      </c>
      <c r="P13" s="2294" t="s">
        <v>3015</v>
      </c>
      <c r="Q13" s="2305">
        <f t="shared" si="3"/>
        <v>24040</v>
      </c>
      <c r="R13" s="2306">
        <f>IF(H13="","",IF(C13="Efficiency",Q13/($O$6*VLOOKUP(0,'DCA Underwriting Assumptions'!$J$143:$K$148,2,FALSE)),Q13/($O$6*VLOOKUP(C13,'DCA Underwriting Assumptions'!$J$143:$K$148,2,FALSE))))</f>
        <v>0.60024968789013733</v>
      </c>
      <c r="S13" s="2307"/>
      <c r="T13" s="2308"/>
      <c r="U13" s="3012"/>
      <c r="V13" s="3014"/>
      <c r="W13" s="152" t="str">
        <f t="shared" si="4"/>
        <v/>
      </c>
      <c r="X13" s="152">
        <f t="shared" si="5"/>
        <v>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3344</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4</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9" t="s">
        <v>1159</v>
      </c>
      <c r="C14" s="2300">
        <v>2</v>
      </c>
      <c r="D14" s="2301">
        <v>2</v>
      </c>
      <c r="E14" s="2302">
        <v>36</v>
      </c>
      <c r="F14" s="2302">
        <v>1091</v>
      </c>
      <c r="G14" s="2302">
        <v>721</v>
      </c>
      <c r="H14" s="2302">
        <v>721</v>
      </c>
      <c r="I14" s="2303">
        <f>IF(C14="",0,HLOOKUP(C14,'Part V-Utility Allowances'!$I$11:$M$21,11))</f>
        <v>142</v>
      </c>
      <c r="J14" s="2304"/>
      <c r="K14" s="630">
        <f t="shared" si="1"/>
        <v>579</v>
      </c>
      <c r="L14" s="630">
        <f t="shared" si="2"/>
        <v>20844</v>
      </c>
      <c r="M14" s="2293" t="s">
        <v>3015</v>
      </c>
      <c r="N14" s="2293" t="s">
        <v>4616</v>
      </c>
      <c r="O14" s="2293" t="s">
        <v>2312</v>
      </c>
      <c r="P14" s="2294" t="s">
        <v>3015</v>
      </c>
      <c r="Q14" s="2305">
        <f t="shared" si="3"/>
        <v>28840</v>
      </c>
      <c r="R14" s="2306">
        <f>IF(H14="","",IF(C14="Efficiency",Q14/($O$6*VLOOKUP(0,'DCA Underwriting Assumptions'!$J$143:$K$148,2,FALSE)),Q14/($O$6*VLOOKUP(C14,'DCA Underwriting Assumptions'!$J$143:$K$148,2,FALSE))))</f>
        <v>0.60008322929671243</v>
      </c>
      <c r="S14" s="2307"/>
      <c r="T14" s="2308"/>
      <c r="U14" s="3012"/>
      <c r="V14" s="3014"/>
      <c r="W14" s="152" t="str">
        <f t="shared" si="4"/>
        <v/>
      </c>
      <c r="X14" s="152" t="str">
        <f t="shared" si="5"/>
        <v/>
      </c>
      <c r="Y14" s="152">
        <f t="shared" si="6"/>
        <v>36</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39276</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36</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36</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36</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36</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9" t="s">
        <v>1159</v>
      </c>
      <c r="C15" s="2300">
        <v>3</v>
      </c>
      <c r="D15" s="2301">
        <v>2</v>
      </c>
      <c r="E15" s="2302">
        <v>10</v>
      </c>
      <c r="F15" s="2302">
        <v>1271</v>
      </c>
      <c r="G15" s="2302">
        <v>833</v>
      </c>
      <c r="H15" s="2302">
        <v>833</v>
      </c>
      <c r="I15" s="2303">
        <f>IF(C15="",0,HLOOKUP(C15,'Part V-Utility Allowances'!$I$11:$M$21,11))</f>
        <v>189</v>
      </c>
      <c r="J15" s="2304"/>
      <c r="K15" s="630">
        <f t="shared" si="1"/>
        <v>644</v>
      </c>
      <c r="L15" s="630">
        <f t="shared" si="2"/>
        <v>6440</v>
      </c>
      <c r="M15" s="2293" t="s">
        <v>3015</v>
      </c>
      <c r="N15" s="2293" t="s">
        <v>4616</v>
      </c>
      <c r="O15" s="2293" t="s">
        <v>2312</v>
      </c>
      <c r="P15" s="2294" t="s">
        <v>3015</v>
      </c>
      <c r="Q15" s="2305">
        <f t="shared" si="3"/>
        <v>33320</v>
      </c>
      <c r="R15" s="2306">
        <f>IF(H15="","",IF(C15="Efficiency",Q15/($O$6*VLOOKUP(0,'DCA Underwriting Assumptions'!$J$143:$K$148,2,FALSE)),Q15/($O$6*VLOOKUP(C15,'DCA Underwriting Assumptions'!$J$143:$K$148,2,FALSE))))</f>
        <v>0.59997118985883036</v>
      </c>
      <c r="S15" s="2307"/>
      <c r="T15" s="2308"/>
      <c r="U15" s="3012"/>
      <c r="V15" s="3014"/>
      <c r="W15" s="152" t="str">
        <f t="shared" si="4"/>
        <v/>
      </c>
      <c r="X15" s="152" t="str">
        <f t="shared" si="5"/>
        <v/>
      </c>
      <c r="Y15" s="152" t="str">
        <f t="shared" si="6"/>
        <v/>
      </c>
      <c r="Z15" s="152">
        <f t="shared" si="7"/>
        <v>10</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12710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10</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10</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10</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9" t="s">
        <v>305</v>
      </c>
      <c r="C16" s="2300">
        <v>1</v>
      </c>
      <c r="D16" s="2301">
        <v>1</v>
      </c>
      <c r="E16" s="2302">
        <v>2</v>
      </c>
      <c r="F16" s="2302">
        <v>836</v>
      </c>
      <c r="G16" s="2302">
        <v>854</v>
      </c>
      <c r="H16" s="2302">
        <v>854</v>
      </c>
      <c r="I16" s="2303"/>
      <c r="J16" s="2304"/>
      <c r="K16" s="630">
        <f t="shared" si="1"/>
        <v>854</v>
      </c>
      <c r="L16" s="630">
        <f t="shared" si="2"/>
        <v>1708</v>
      </c>
      <c r="M16" s="2293" t="s">
        <v>3015</v>
      </c>
      <c r="N16" s="2293" t="s">
        <v>4616</v>
      </c>
      <c r="O16" s="2293" t="s">
        <v>2312</v>
      </c>
      <c r="P16" s="2294" t="s">
        <v>3015</v>
      </c>
      <c r="Q16" s="2305">
        <f t="shared" si="3"/>
        <v>34160</v>
      </c>
      <c r="R16" s="2306">
        <f>IF(H16="","",IF(C16="Efficiency",Q16/($O$6*VLOOKUP(0,'DCA Underwriting Assumptions'!$J$143:$K$148,2,FALSE)),Q16/($O$6*VLOOKUP(C16,'DCA Underwriting Assumptions'!$J$143:$K$148,2,FALSE))))</f>
        <v>0.8529338327091136</v>
      </c>
      <c r="S16" s="2307"/>
      <c r="T16" s="2308"/>
      <c r="U16" s="3012"/>
      <c r="V16" s="3014"/>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2</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1672</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2</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2</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f t="shared" si="210"/>
        <v>2</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2</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9" t="s">
        <v>305</v>
      </c>
      <c r="C17" s="2300">
        <v>2</v>
      </c>
      <c r="D17" s="2301">
        <v>2</v>
      </c>
      <c r="E17" s="2302">
        <v>11</v>
      </c>
      <c r="F17" s="2302">
        <v>1091</v>
      </c>
      <c r="G17" s="2302">
        <v>961</v>
      </c>
      <c r="H17" s="2302">
        <v>961</v>
      </c>
      <c r="I17" s="2303"/>
      <c r="J17" s="2304"/>
      <c r="K17" s="630">
        <f t="shared" si="1"/>
        <v>961</v>
      </c>
      <c r="L17" s="630">
        <f t="shared" si="2"/>
        <v>10571</v>
      </c>
      <c r="M17" s="2293" t="s">
        <v>3015</v>
      </c>
      <c r="N17" s="2293" t="s">
        <v>4616</v>
      </c>
      <c r="O17" s="2293" t="s">
        <v>2312</v>
      </c>
      <c r="P17" s="2294" t="s">
        <v>3015</v>
      </c>
      <c r="Q17" s="2305">
        <f t="shared" si="3"/>
        <v>38440</v>
      </c>
      <c r="R17" s="2306">
        <f>IF(H17="","",IF(C17="Efficiency",Q17/($O$6*VLOOKUP(0,'DCA Underwriting Assumptions'!$J$143:$K$148,2,FALSE)),Q17/($O$6*VLOOKUP(C17,'DCA Underwriting Assumptions'!$J$143:$K$148,2,FALSE))))</f>
        <v>0.79983354140657514</v>
      </c>
      <c r="S17" s="2307"/>
      <c r="T17" s="2308"/>
      <c r="U17" s="3012"/>
      <c r="V17" s="3014"/>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11</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12001</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11</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11</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f t="shared" si="211"/>
        <v>11</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11</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9" t="s">
        <v>305</v>
      </c>
      <c r="C18" s="2300">
        <v>3</v>
      </c>
      <c r="D18" s="2301">
        <v>2</v>
      </c>
      <c r="E18" s="2302">
        <v>4</v>
      </c>
      <c r="F18" s="2302">
        <v>1271</v>
      </c>
      <c r="G18" s="2302">
        <v>1067</v>
      </c>
      <c r="H18" s="2302">
        <v>1067</v>
      </c>
      <c r="I18" s="2303"/>
      <c r="J18" s="2304"/>
      <c r="K18" s="630">
        <f t="shared" si="1"/>
        <v>1067</v>
      </c>
      <c r="L18" s="630">
        <f t="shared" si="2"/>
        <v>4268</v>
      </c>
      <c r="M18" s="2293" t="s">
        <v>3015</v>
      </c>
      <c r="N18" s="2293" t="s">
        <v>4616</v>
      </c>
      <c r="O18" s="2293" t="s">
        <v>2312</v>
      </c>
      <c r="P18" s="2294" t="s">
        <v>3015</v>
      </c>
      <c r="Q18" s="2305">
        <f t="shared" si="3"/>
        <v>42680</v>
      </c>
      <c r="R18" s="2306">
        <f>IF(H18="","",IF(C18="Efficiency",Q18/($O$6*VLOOKUP(0,'DCA Underwriting Assumptions'!$J$143:$K$148,2,FALSE)),Q18/($O$6*VLOOKUP(C18,'DCA Underwriting Assumptions'!$J$143:$K$148,2,FALSE))))</f>
        <v>0.76851051570152695</v>
      </c>
      <c r="S18" s="2307"/>
      <c r="T18" s="2308"/>
      <c r="U18" s="3012"/>
      <c r="V18" s="3014"/>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4</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5084</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4</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4</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f t="shared" si="212"/>
        <v>4</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4</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9" t="s">
        <v>1784</v>
      </c>
      <c r="C19" s="2300"/>
      <c r="D19" s="2301"/>
      <c r="E19" s="2302"/>
      <c r="F19" s="2302"/>
      <c r="G19" s="2302"/>
      <c r="H19" s="2302"/>
      <c r="I19" s="2303">
        <f>IF(C19="",0,HLOOKUP(C19,'Part V-Utility Allowances'!$I$11:$M$21,11))</f>
        <v>0</v>
      </c>
      <c r="J19" s="2304"/>
      <c r="K19" s="630">
        <f t="shared" si="1"/>
        <v>0</v>
      </c>
      <c r="L19" s="630">
        <f t="shared" si="2"/>
        <v>0</v>
      </c>
      <c r="M19" s="2309"/>
      <c r="N19" s="2309"/>
      <c r="O19" s="2309"/>
      <c r="P19" s="2310"/>
      <c r="Q19" s="2305" t="str">
        <f t="shared" si="3"/>
        <v/>
      </c>
      <c r="R19" s="2306" t="str">
        <f>IF(H19="","",IF(C19="Efficiency",Q19/($O$6*VLOOKUP(0,'DCA Underwriting Assumptions'!$J$143:$K$148,2,FALSE)),Q19/($O$6*VLOOKUP(C19,'DCA Underwriting Assumptions'!$J$143:$K$148,2,FALSE))))</f>
        <v/>
      </c>
      <c r="S19" s="2307"/>
      <c r="T19" s="2308"/>
      <c r="U19" s="3012"/>
      <c r="V19" s="3014"/>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9" t="s">
        <v>1784</v>
      </c>
      <c r="C20" s="2300"/>
      <c r="D20" s="2301"/>
      <c r="E20" s="2302"/>
      <c r="F20" s="2302"/>
      <c r="G20" s="2302"/>
      <c r="H20" s="2302"/>
      <c r="I20" s="2303">
        <f>IF(C20="",0,HLOOKUP(C20,'Part V-Utility Allowances'!$I$11:$M$21,11))</f>
        <v>0</v>
      </c>
      <c r="J20" s="2304"/>
      <c r="K20" s="630">
        <f t="shared" si="1"/>
        <v>0</v>
      </c>
      <c r="L20" s="630">
        <f t="shared" si="2"/>
        <v>0</v>
      </c>
      <c r="M20" s="2309"/>
      <c r="N20" s="2309"/>
      <c r="O20" s="2309"/>
      <c r="P20" s="2310"/>
      <c r="Q20" s="2305" t="str">
        <f t="shared" si="3"/>
        <v/>
      </c>
      <c r="R20" s="2306" t="str">
        <f>IF(H20="","",IF(C20="Efficiency",Q20/($O$6*VLOOKUP(0,'DCA Underwriting Assumptions'!$J$143:$K$148,2,FALSE)),Q20/($O$6*VLOOKUP(C20,'DCA Underwriting Assumptions'!$J$143:$K$148,2,FALSE))))</f>
        <v/>
      </c>
      <c r="S20" s="2307"/>
      <c r="T20" s="2308"/>
      <c r="U20" s="3012"/>
      <c r="V20" s="3014"/>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9" t="s">
        <v>1784</v>
      </c>
      <c r="C21" s="2300"/>
      <c r="D21" s="2301"/>
      <c r="E21" s="2302"/>
      <c r="F21" s="2302"/>
      <c r="G21" s="2302"/>
      <c r="H21" s="2302"/>
      <c r="I21" s="2303">
        <f>IF(C21="",0,HLOOKUP(C21,'Part V-Utility Allowances'!$I$11:$M$21,11))</f>
        <v>0</v>
      </c>
      <c r="J21" s="2304"/>
      <c r="K21" s="630">
        <f t="shared" si="1"/>
        <v>0</v>
      </c>
      <c r="L21" s="630">
        <f t="shared" si="2"/>
        <v>0</v>
      </c>
      <c r="M21" s="2309"/>
      <c r="N21" s="2309"/>
      <c r="O21" s="2309"/>
      <c r="P21" s="2310"/>
      <c r="Q21" s="2305" t="str">
        <f t="shared" si="3"/>
        <v/>
      </c>
      <c r="R21" s="2306" t="str">
        <f>IF(H21="","",IF(C21="Efficiency",Q21/($O$6*VLOOKUP(0,'DCA Underwriting Assumptions'!$J$143:$K$148,2,FALSE)),Q21/($O$6*VLOOKUP(C21,'DCA Underwriting Assumptions'!$J$143:$K$148,2,FALSE))))</f>
        <v/>
      </c>
      <c r="S21" s="2307"/>
      <c r="T21" s="2308"/>
      <c r="U21" s="3012"/>
      <c r="V21" s="3014"/>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9" t="s">
        <v>1784</v>
      </c>
      <c r="C22" s="2300"/>
      <c r="D22" s="2301"/>
      <c r="E22" s="2302"/>
      <c r="F22" s="2302"/>
      <c r="G22" s="2302"/>
      <c r="H22" s="2302"/>
      <c r="I22" s="2303">
        <f>IF(C22="",0,HLOOKUP(C22,'Part V-Utility Allowances'!$I$11:$M$21,11))</f>
        <v>0</v>
      </c>
      <c r="J22" s="2304"/>
      <c r="K22" s="630">
        <f t="shared" si="1"/>
        <v>0</v>
      </c>
      <c r="L22" s="630">
        <f t="shared" si="2"/>
        <v>0</v>
      </c>
      <c r="M22" s="2309"/>
      <c r="N22" s="2309"/>
      <c r="O22" s="2309"/>
      <c r="P22" s="2310"/>
      <c r="Q22" s="2305" t="str">
        <f t="shared" si="3"/>
        <v/>
      </c>
      <c r="R22" s="2306" t="str">
        <f>IF(H22="","",IF(C22="Efficiency",Q22/($O$6*VLOOKUP(0,'DCA Underwriting Assumptions'!$J$143:$K$148,2,FALSE)),Q22/($O$6*VLOOKUP(C22,'DCA Underwriting Assumptions'!$J$143:$K$148,2,FALSE))))</f>
        <v/>
      </c>
      <c r="S22" s="2307"/>
      <c r="T22" s="2308"/>
      <c r="U22" s="3012"/>
      <c r="V22" s="3014"/>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9" t="s">
        <v>1784</v>
      </c>
      <c r="C23" s="2300"/>
      <c r="D23" s="2301"/>
      <c r="E23" s="2302"/>
      <c r="F23" s="2302"/>
      <c r="G23" s="2302"/>
      <c r="H23" s="2302"/>
      <c r="I23" s="2303">
        <f>IF(C23="",0,HLOOKUP(C23,'Part V-Utility Allowances'!$I$11:$M$21,11))</f>
        <v>0</v>
      </c>
      <c r="J23" s="2304"/>
      <c r="K23" s="630">
        <f t="shared" si="1"/>
        <v>0</v>
      </c>
      <c r="L23" s="630">
        <f t="shared" si="2"/>
        <v>0</v>
      </c>
      <c r="M23" s="2309"/>
      <c r="N23" s="2309"/>
      <c r="O23" s="2309"/>
      <c r="P23" s="2310"/>
      <c r="Q23" s="2305" t="str">
        <f t="shared" si="3"/>
        <v/>
      </c>
      <c r="R23" s="2306" t="str">
        <f>IF(H23="","",IF(C23="Efficiency",Q23/($O$6*VLOOKUP(0,'DCA Underwriting Assumptions'!$J$143:$K$148,2,FALSE)),Q23/($O$6*VLOOKUP(C23,'DCA Underwriting Assumptions'!$J$143:$K$148,2,FALSE))))</f>
        <v/>
      </c>
      <c r="S23" s="2307"/>
      <c r="T23" s="2308"/>
      <c r="U23" s="3012"/>
      <c r="V23" s="3014"/>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9" t="s">
        <v>1784</v>
      </c>
      <c r="C24" s="2300"/>
      <c r="D24" s="2301"/>
      <c r="E24" s="2302"/>
      <c r="F24" s="2302"/>
      <c r="G24" s="2302"/>
      <c r="H24" s="2302"/>
      <c r="I24" s="2303">
        <f>IF(C24="",0,HLOOKUP(C24,'Part V-Utility Allowances'!$I$11:$M$21,11))</f>
        <v>0</v>
      </c>
      <c r="J24" s="2304"/>
      <c r="K24" s="630">
        <f t="shared" si="1"/>
        <v>0</v>
      </c>
      <c r="L24" s="630">
        <f t="shared" si="2"/>
        <v>0</v>
      </c>
      <c r="M24" s="2309"/>
      <c r="N24" s="2309"/>
      <c r="O24" s="2309"/>
      <c r="P24" s="2310"/>
      <c r="Q24" s="2305" t="str">
        <f t="shared" si="3"/>
        <v/>
      </c>
      <c r="R24" s="2306" t="str">
        <f>IF(H24="","",IF(C24="Efficiency",Q24/($O$6*VLOOKUP(0,'DCA Underwriting Assumptions'!$J$143:$K$148,2,FALSE)),Q24/($O$6*VLOOKUP(C24,'DCA Underwriting Assumptions'!$J$143:$K$148,2,FALSE))))</f>
        <v/>
      </c>
      <c r="S24" s="2307"/>
      <c r="T24" s="2308"/>
      <c r="U24" s="3012"/>
      <c r="V24" s="3014"/>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9" t="s">
        <v>1784</v>
      </c>
      <c r="C25" s="2300"/>
      <c r="D25" s="2301"/>
      <c r="E25" s="2302"/>
      <c r="F25" s="2302"/>
      <c r="G25" s="2302"/>
      <c r="H25" s="2302"/>
      <c r="I25" s="2303">
        <f>IF(C25="",0,HLOOKUP(C25,'Part V-Utility Allowances'!$I$11:$M$21,11))</f>
        <v>0</v>
      </c>
      <c r="J25" s="2304"/>
      <c r="K25" s="630">
        <f t="shared" si="1"/>
        <v>0</v>
      </c>
      <c r="L25" s="630">
        <f t="shared" si="2"/>
        <v>0</v>
      </c>
      <c r="M25" s="2309"/>
      <c r="N25" s="2309"/>
      <c r="O25" s="2309"/>
      <c r="P25" s="2310"/>
      <c r="Q25" s="2305" t="str">
        <f t="shared" si="3"/>
        <v/>
      </c>
      <c r="R25" s="2306" t="str">
        <f>IF(H25="","",IF(C25="Efficiency",Q25/($O$6*VLOOKUP(0,'DCA Underwriting Assumptions'!$J$143:$K$148,2,FALSE)),Q25/($O$6*VLOOKUP(C25,'DCA Underwriting Assumptions'!$J$143:$K$148,2,FALSE))))</f>
        <v/>
      </c>
      <c r="S25" s="2307"/>
      <c r="T25" s="2308"/>
      <c r="U25" s="3012"/>
      <c r="V25" s="3014"/>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9" t="s">
        <v>1784</v>
      </c>
      <c r="C26" s="2300"/>
      <c r="D26" s="2301"/>
      <c r="E26" s="2302"/>
      <c r="F26" s="2302"/>
      <c r="G26" s="2302"/>
      <c r="H26" s="2302"/>
      <c r="I26" s="2303">
        <f>IF(C26="",0,HLOOKUP(C26,'Part V-Utility Allowances'!$I$11:$M$21,11))</f>
        <v>0</v>
      </c>
      <c r="J26" s="2304"/>
      <c r="K26" s="630">
        <f t="shared" si="1"/>
        <v>0</v>
      </c>
      <c r="L26" s="630">
        <f t="shared" si="2"/>
        <v>0</v>
      </c>
      <c r="M26" s="2309"/>
      <c r="N26" s="2309"/>
      <c r="O26" s="2309"/>
      <c r="P26" s="2310"/>
      <c r="Q26" s="2305" t="str">
        <f t="shared" si="3"/>
        <v/>
      </c>
      <c r="R26" s="2306" t="str">
        <f>IF(H26="","",IF(C26="Efficiency",Q26/($O$6*VLOOKUP(0,'DCA Underwriting Assumptions'!$J$143:$K$148,2,FALSE)),Q26/($O$6*VLOOKUP(C26,'DCA Underwriting Assumptions'!$J$143:$K$148,2,FALSE))))</f>
        <v/>
      </c>
      <c r="S26" s="2307"/>
      <c r="T26" s="2308"/>
      <c r="U26" s="3012"/>
      <c r="V26" s="3014"/>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9" t="s">
        <v>1784</v>
      </c>
      <c r="C27" s="2300"/>
      <c r="D27" s="2301"/>
      <c r="E27" s="2302"/>
      <c r="F27" s="2302"/>
      <c r="G27" s="2302"/>
      <c r="H27" s="2302"/>
      <c r="I27" s="2303">
        <f>IF(C27="",0,HLOOKUP(C27,'Part V-Utility Allowances'!$I$11:$M$21,11))</f>
        <v>0</v>
      </c>
      <c r="J27" s="2304"/>
      <c r="K27" s="630">
        <f t="shared" si="1"/>
        <v>0</v>
      </c>
      <c r="L27" s="630">
        <f t="shared" si="2"/>
        <v>0</v>
      </c>
      <c r="M27" s="2309"/>
      <c r="N27" s="2309"/>
      <c r="O27" s="2309"/>
      <c r="P27" s="2310"/>
      <c r="Q27" s="2305" t="str">
        <f t="shared" si="3"/>
        <v/>
      </c>
      <c r="R27" s="2306" t="str">
        <f>IF(H27="","",IF(C27="Efficiency",Q27/($O$6*VLOOKUP(0,'DCA Underwriting Assumptions'!$J$143:$K$148,2,FALSE)),Q27/($O$6*VLOOKUP(C27,'DCA Underwriting Assumptions'!$J$143:$K$148,2,FALSE))))</f>
        <v/>
      </c>
      <c r="S27" s="2307"/>
      <c r="T27" s="2308"/>
      <c r="U27" s="3012"/>
      <c r="V27" s="3014"/>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9" t="s">
        <v>1784</v>
      </c>
      <c r="C28" s="2300"/>
      <c r="D28" s="2301"/>
      <c r="E28" s="2302"/>
      <c r="F28" s="2302"/>
      <c r="G28" s="2302"/>
      <c r="H28" s="2302"/>
      <c r="I28" s="2303">
        <f>IF(C28="",0,HLOOKUP(C28,'Part V-Utility Allowances'!$I$11:$M$21,11))</f>
        <v>0</v>
      </c>
      <c r="J28" s="2304"/>
      <c r="K28" s="630">
        <f t="shared" si="1"/>
        <v>0</v>
      </c>
      <c r="L28" s="630">
        <f t="shared" si="2"/>
        <v>0</v>
      </c>
      <c r="M28" s="2309"/>
      <c r="N28" s="2309"/>
      <c r="O28" s="2309"/>
      <c r="P28" s="2310"/>
      <c r="Q28" s="2305" t="str">
        <f t="shared" si="3"/>
        <v/>
      </c>
      <c r="R28" s="2306" t="str">
        <f>IF(H28="","",IF(C28="Efficiency",Q28/($O$6*VLOOKUP(0,'DCA Underwriting Assumptions'!$J$143:$K$148,2,FALSE)),Q28/($O$6*VLOOKUP(C28,'DCA Underwriting Assumptions'!$J$143:$K$148,2,FALSE))))</f>
        <v/>
      </c>
      <c r="S28" s="2307"/>
      <c r="T28" s="2308"/>
      <c r="U28" s="3012"/>
      <c r="V28" s="3014"/>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9" t="s">
        <v>1784</v>
      </c>
      <c r="C29" s="2300"/>
      <c r="D29" s="2301"/>
      <c r="E29" s="2302"/>
      <c r="F29" s="2302"/>
      <c r="G29" s="2302"/>
      <c r="H29" s="2302"/>
      <c r="I29" s="2303">
        <f>IF(C29="",0,HLOOKUP(C29,'Part V-Utility Allowances'!$I$11:$M$21,11))</f>
        <v>0</v>
      </c>
      <c r="J29" s="2304"/>
      <c r="K29" s="630">
        <f t="shared" si="1"/>
        <v>0</v>
      </c>
      <c r="L29" s="630">
        <f t="shared" si="2"/>
        <v>0</v>
      </c>
      <c r="M29" s="2309"/>
      <c r="N29" s="2309"/>
      <c r="O29" s="2309"/>
      <c r="P29" s="2310"/>
      <c r="Q29" s="2305" t="str">
        <f t="shared" si="3"/>
        <v/>
      </c>
      <c r="R29" s="2306" t="str">
        <f>IF(H29="","",IF(C29="Efficiency",Q29/($O$6*VLOOKUP(0,'DCA Underwriting Assumptions'!$J$143:$K$148,2,FALSE)),Q29/($O$6*VLOOKUP(C29,'DCA Underwriting Assumptions'!$J$143:$K$148,2,FALSE))))</f>
        <v/>
      </c>
      <c r="S29" s="2307"/>
      <c r="T29" s="2308"/>
      <c r="U29" s="3012"/>
      <c r="V29" s="3014"/>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9" t="s">
        <v>1784</v>
      </c>
      <c r="C30" s="2300"/>
      <c r="D30" s="2301"/>
      <c r="E30" s="2302"/>
      <c r="F30" s="2302"/>
      <c r="G30" s="2302"/>
      <c r="H30" s="2302"/>
      <c r="I30" s="2303">
        <f>IF(C30="",0,HLOOKUP(C30,'Part V-Utility Allowances'!$I$11:$M$21,11))</f>
        <v>0</v>
      </c>
      <c r="J30" s="2304"/>
      <c r="K30" s="630">
        <f t="shared" si="1"/>
        <v>0</v>
      </c>
      <c r="L30" s="630">
        <f t="shared" si="2"/>
        <v>0</v>
      </c>
      <c r="M30" s="2309"/>
      <c r="N30" s="2309"/>
      <c r="O30" s="2309"/>
      <c r="P30" s="2310"/>
      <c r="Q30" s="2305" t="str">
        <f t="shared" si="3"/>
        <v/>
      </c>
      <c r="R30" s="2306" t="str">
        <f>IF(H30="","",IF(C30="Efficiency",Q30/($O$6*VLOOKUP(0,'DCA Underwriting Assumptions'!$J$143:$K$148,2,FALSE)),Q30/($O$6*VLOOKUP(C30,'DCA Underwriting Assumptions'!$J$143:$K$148,2,FALSE))))</f>
        <v/>
      </c>
      <c r="S30" s="2307"/>
      <c r="T30" s="2308"/>
      <c r="U30" s="3012"/>
      <c r="V30" s="3014"/>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9" t="s">
        <v>1784</v>
      </c>
      <c r="C31" s="2300"/>
      <c r="D31" s="2301"/>
      <c r="E31" s="2302"/>
      <c r="F31" s="2302"/>
      <c r="G31" s="2302"/>
      <c r="H31" s="2302"/>
      <c r="I31" s="2303">
        <f>IF(C31="",0,HLOOKUP(C31,'Part V-Utility Allowances'!$I$11:$M$21,11))</f>
        <v>0</v>
      </c>
      <c r="J31" s="2304"/>
      <c r="K31" s="630">
        <f t="shared" si="1"/>
        <v>0</v>
      </c>
      <c r="L31" s="630">
        <f t="shared" si="2"/>
        <v>0</v>
      </c>
      <c r="M31" s="2309"/>
      <c r="N31" s="2309"/>
      <c r="O31" s="2309"/>
      <c r="P31" s="2310"/>
      <c r="Q31" s="2305" t="str">
        <f t="shared" si="3"/>
        <v/>
      </c>
      <c r="R31" s="2306" t="str">
        <f>IF(H31="","",IF(C31="Efficiency",Q31/($O$6*VLOOKUP(0,'DCA Underwriting Assumptions'!$J$143:$K$148,2,FALSE)),Q31/($O$6*VLOOKUP(C31,'DCA Underwriting Assumptions'!$J$143:$K$148,2,FALSE))))</f>
        <v/>
      </c>
      <c r="S31" s="2307"/>
      <c r="T31" s="2308"/>
      <c r="U31" s="3012"/>
      <c r="V31" s="3014"/>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9" t="s">
        <v>1784</v>
      </c>
      <c r="C32" s="2300"/>
      <c r="D32" s="2301"/>
      <c r="E32" s="2302"/>
      <c r="F32" s="2302"/>
      <c r="G32" s="2302"/>
      <c r="H32" s="2302"/>
      <c r="I32" s="2303">
        <f>IF(C32="",0,HLOOKUP(C32,'Part V-Utility Allowances'!$I$11:$M$21,11))</f>
        <v>0</v>
      </c>
      <c r="J32" s="2304"/>
      <c r="K32" s="630">
        <f t="shared" si="1"/>
        <v>0</v>
      </c>
      <c r="L32" s="630">
        <f t="shared" si="2"/>
        <v>0</v>
      </c>
      <c r="M32" s="2309"/>
      <c r="N32" s="2309"/>
      <c r="O32" s="2309"/>
      <c r="P32" s="2310"/>
      <c r="Q32" s="2305" t="str">
        <f t="shared" si="3"/>
        <v/>
      </c>
      <c r="R32" s="2306" t="str">
        <f>IF(H32="","",IF(C32="Efficiency",Q32/($O$6*VLOOKUP(0,'DCA Underwriting Assumptions'!$J$143:$K$148,2,FALSE)),Q32/($O$6*VLOOKUP(C32,'DCA Underwriting Assumptions'!$J$143:$K$148,2,FALSE))))</f>
        <v/>
      </c>
      <c r="S32" s="2307"/>
      <c r="T32" s="2308"/>
      <c r="U32" s="3012"/>
      <c r="V32" s="3014"/>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9" t="s">
        <v>1784</v>
      </c>
      <c r="C33" s="2300"/>
      <c r="D33" s="2301"/>
      <c r="E33" s="2302"/>
      <c r="F33" s="2302"/>
      <c r="G33" s="2302"/>
      <c r="H33" s="2302"/>
      <c r="I33" s="2303">
        <f>IF(C33="",0,HLOOKUP(C33,'Part V-Utility Allowances'!$I$11:$M$21,11))</f>
        <v>0</v>
      </c>
      <c r="J33" s="2304"/>
      <c r="K33" s="630">
        <f t="shared" si="1"/>
        <v>0</v>
      </c>
      <c r="L33" s="630">
        <f t="shared" si="2"/>
        <v>0</v>
      </c>
      <c r="M33" s="2309"/>
      <c r="N33" s="2309"/>
      <c r="O33" s="2309"/>
      <c r="P33" s="2310"/>
      <c r="Q33" s="2305" t="str">
        <f t="shared" si="3"/>
        <v/>
      </c>
      <c r="R33" s="2306" t="str">
        <f>IF(H33="","",IF(C33="Efficiency",Q33/($O$6*VLOOKUP(0,'DCA Underwriting Assumptions'!$J$143:$K$148,2,FALSE)),Q33/($O$6*VLOOKUP(C33,'DCA Underwriting Assumptions'!$J$143:$K$148,2,FALSE))))</f>
        <v/>
      </c>
      <c r="S33" s="2307"/>
      <c r="T33" s="2308"/>
      <c r="U33" s="3012"/>
      <c r="V33" s="3014"/>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9" t="s">
        <v>1784</v>
      </c>
      <c r="C34" s="2300"/>
      <c r="D34" s="2301"/>
      <c r="E34" s="2302"/>
      <c r="F34" s="2302"/>
      <c r="G34" s="2302"/>
      <c r="H34" s="2302"/>
      <c r="I34" s="2303">
        <f>IF(C34="",0,HLOOKUP(C34,'Part V-Utility Allowances'!$I$11:$M$21,11))</f>
        <v>0</v>
      </c>
      <c r="J34" s="2304"/>
      <c r="K34" s="630">
        <f t="shared" si="1"/>
        <v>0</v>
      </c>
      <c r="L34" s="630">
        <f t="shared" si="2"/>
        <v>0</v>
      </c>
      <c r="M34" s="2309"/>
      <c r="N34" s="2309"/>
      <c r="O34" s="2309"/>
      <c r="P34" s="2310"/>
      <c r="Q34" s="2305" t="str">
        <f t="shared" si="3"/>
        <v/>
      </c>
      <c r="R34" s="2306" t="str">
        <f>IF(H34="","",IF(C34="Efficiency",Q34/($O$6*VLOOKUP(0,'DCA Underwriting Assumptions'!$J$143:$K$148,2,FALSE)),Q34/($O$6*VLOOKUP(C34,'DCA Underwriting Assumptions'!$J$143:$K$148,2,FALSE))))</f>
        <v/>
      </c>
      <c r="S34" s="2307"/>
      <c r="T34" s="2308"/>
      <c r="U34" s="3012"/>
      <c r="V34" s="3014"/>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9" t="s">
        <v>1784</v>
      </c>
      <c r="C35" s="2300"/>
      <c r="D35" s="2301"/>
      <c r="E35" s="2302"/>
      <c r="F35" s="2302"/>
      <c r="G35" s="2302"/>
      <c r="H35" s="2302"/>
      <c r="I35" s="2303">
        <f>IF(C35="",0,HLOOKUP(C35,'Part V-Utility Allowances'!$I$11:$M$21,11))</f>
        <v>0</v>
      </c>
      <c r="J35" s="2304"/>
      <c r="K35" s="630">
        <f t="shared" si="1"/>
        <v>0</v>
      </c>
      <c r="L35" s="630">
        <f t="shared" si="2"/>
        <v>0</v>
      </c>
      <c r="M35" s="2309"/>
      <c r="N35" s="2309"/>
      <c r="O35" s="2309"/>
      <c r="P35" s="2310"/>
      <c r="Q35" s="2305" t="str">
        <f t="shared" si="3"/>
        <v/>
      </c>
      <c r="R35" s="2306" t="str">
        <f>IF(H35="","",IF(C35="Efficiency",Q35/($O$6*VLOOKUP(0,'DCA Underwriting Assumptions'!$J$143:$K$148,2,FALSE)),Q35/($O$6*VLOOKUP(C35,'DCA Underwriting Assumptions'!$J$143:$K$148,2,FALSE))))</f>
        <v/>
      </c>
      <c r="S35" s="2307"/>
      <c r="T35" s="2308"/>
      <c r="U35" s="3012"/>
      <c r="V35" s="3014"/>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9" t="s">
        <v>1784</v>
      </c>
      <c r="C36" s="2300"/>
      <c r="D36" s="2301"/>
      <c r="E36" s="2302"/>
      <c r="F36" s="2302"/>
      <c r="G36" s="2302"/>
      <c r="H36" s="2302"/>
      <c r="I36" s="2303">
        <f>IF(C36="",0,HLOOKUP(C36,'Part V-Utility Allowances'!$I$11:$M$21,11))</f>
        <v>0</v>
      </c>
      <c r="J36" s="2304"/>
      <c r="K36" s="630">
        <f t="shared" si="1"/>
        <v>0</v>
      </c>
      <c r="L36" s="630">
        <f t="shared" si="2"/>
        <v>0</v>
      </c>
      <c r="M36" s="2309"/>
      <c r="N36" s="2309"/>
      <c r="O36" s="2309"/>
      <c r="P36" s="2310"/>
      <c r="Q36" s="2305" t="str">
        <f t="shared" si="3"/>
        <v/>
      </c>
      <c r="R36" s="2306" t="str">
        <f>IF(H36="","",IF(C36="Efficiency",Q36/($O$6*VLOOKUP(0,'DCA Underwriting Assumptions'!$J$143:$K$148,2,FALSE)),Q36/($O$6*VLOOKUP(C36,'DCA Underwriting Assumptions'!$J$143:$K$148,2,FALSE))))</f>
        <v/>
      </c>
      <c r="S36" s="2307"/>
      <c r="T36" s="2308"/>
      <c r="U36" s="3012"/>
      <c r="V36" s="3014"/>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9" t="s">
        <v>1784</v>
      </c>
      <c r="C37" s="2300"/>
      <c r="D37" s="2301"/>
      <c r="E37" s="2302"/>
      <c r="F37" s="2302"/>
      <c r="G37" s="2302"/>
      <c r="H37" s="2302"/>
      <c r="I37" s="2303">
        <f>IF(C37="",0,HLOOKUP(C37,'Part V-Utility Allowances'!$I$11:$M$21,11))</f>
        <v>0</v>
      </c>
      <c r="J37" s="2304"/>
      <c r="K37" s="630">
        <f t="shared" si="1"/>
        <v>0</v>
      </c>
      <c r="L37" s="630">
        <f t="shared" si="2"/>
        <v>0</v>
      </c>
      <c r="M37" s="2309"/>
      <c r="N37" s="2309"/>
      <c r="O37" s="2309"/>
      <c r="P37" s="2310"/>
      <c r="Q37" s="2305" t="str">
        <f t="shared" si="3"/>
        <v/>
      </c>
      <c r="R37" s="2306" t="str">
        <f>IF(H37="","",IF(C37="Efficiency",Q37/($O$6*VLOOKUP(0,'DCA Underwriting Assumptions'!$J$143:$K$148,2,FALSE)),Q37/($O$6*VLOOKUP(C37,'DCA Underwriting Assumptions'!$J$143:$K$148,2,FALSE))))</f>
        <v/>
      </c>
      <c r="S37" s="2307"/>
      <c r="T37" s="2308"/>
      <c r="U37" s="3012"/>
      <c r="V37" s="3014"/>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9" t="s">
        <v>1784</v>
      </c>
      <c r="C38" s="2300"/>
      <c r="D38" s="2301"/>
      <c r="E38" s="2302"/>
      <c r="F38" s="2302"/>
      <c r="G38" s="2302"/>
      <c r="H38" s="2302"/>
      <c r="I38" s="2303">
        <f>IF(C38="",0,HLOOKUP(C38,'Part V-Utility Allowances'!$I$11:$M$21,11))</f>
        <v>0</v>
      </c>
      <c r="J38" s="2304"/>
      <c r="K38" s="630">
        <f t="shared" si="1"/>
        <v>0</v>
      </c>
      <c r="L38" s="630">
        <f t="shared" si="2"/>
        <v>0</v>
      </c>
      <c r="M38" s="2309"/>
      <c r="N38" s="2309"/>
      <c r="O38" s="2309"/>
      <c r="P38" s="2310"/>
      <c r="Q38" s="2305" t="str">
        <f t="shared" si="3"/>
        <v/>
      </c>
      <c r="R38" s="2306" t="str">
        <f>IF(H38="","",IF(C38="Efficiency",Q38/($O$6*VLOOKUP(0,'DCA Underwriting Assumptions'!$J$143:$K$148,2,FALSE)),Q38/($O$6*VLOOKUP(C38,'DCA Underwriting Assumptions'!$J$143:$K$148,2,FALSE))))</f>
        <v/>
      </c>
      <c r="S38" s="2307"/>
      <c r="T38" s="2308"/>
      <c r="U38" s="3012"/>
      <c r="V38" s="3014"/>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9" t="s">
        <v>1784</v>
      </c>
      <c r="C39" s="2300"/>
      <c r="D39" s="2301"/>
      <c r="E39" s="2302"/>
      <c r="F39" s="2302"/>
      <c r="G39" s="2302"/>
      <c r="H39" s="2302"/>
      <c r="I39" s="2303">
        <f>IF(C39="",0,HLOOKUP(C39,'Part V-Utility Allowances'!$I$11:$M$21,11))</f>
        <v>0</v>
      </c>
      <c r="J39" s="2304"/>
      <c r="K39" s="630">
        <f t="shared" si="1"/>
        <v>0</v>
      </c>
      <c r="L39" s="630">
        <f t="shared" si="2"/>
        <v>0</v>
      </c>
      <c r="M39" s="2309"/>
      <c r="N39" s="2309"/>
      <c r="O39" s="2309"/>
      <c r="P39" s="2310"/>
      <c r="Q39" s="2305" t="str">
        <f t="shared" si="3"/>
        <v/>
      </c>
      <c r="R39" s="2306" t="str">
        <f>IF(H39="","",IF(C39="Efficiency",Q39/($O$6*VLOOKUP(0,'DCA Underwriting Assumptions'!$J$143:$K$148,2,FALSE)),Q39/($O$6*VLOOKUP(C39,'DCA Underwriting Assumptions'!$J$143:$K$148,2,FALSE))))</f>
        <v/>
      </c>
      <c r="S39" s="2307"/>
      <c r="T39" s="2308"/>
      <c r="U39" s="3012"/>
      <c r="V39" s="3014"/>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9" t="s">
        <v>1784</v>
      </c>
      <c r="C40" s="2300"/>
      <c r="D40" s="2301"/>
      <c r="E40" s="2302"/>
      <c r="F40" s="2302"/>
      <c r="G40" s="2302"/>
      <c r="H40" s="2302"/>
      <c r="I40" s="2303">
        <f>IF(C40="",0,HLOOKUP(C40,'Part V-Utility Allowances'!$I$11:$M$21,11))</f>
        <v>0</v>
      </c>
      <c r="J40" s="2304"/>
      <c r="K40" s="630">
        <f t="shared" si="1"/>
        <v>0</v>
      </c>
      <c r="L40" s="630">
        <f t="shared" si="2"/>
        <v>0</v>
      </c>
      <c r="M40" s="2309"/>
      <c r="N40" s="2309"/>
      <c r="O40" s="2309"/>
      <c r="P40" s="2310"/>
      <c r="Q40" s="2305" t="str">
        <f t="shared" si="3"/>
        <v/>
      </c>
      <c r="R40" s="2306" t="str">
        <f>IF(H40="","",IF(C40="Efficiency",Q40/($O$6*VLOOKUP(0,'DCA Underwriting Assumptions'!$J$143:$K$148,2,FALSE)),Q40/($O$6*VLOOKUP(C40,'DCA Underwriting Assumptions'!$J$143:$K$148,2,FALSE))))</f>
        <v/>
      </c>
      <c r="S40" s="2307"/>
      <c r="T40" s="2308"/>
      <c r="U40" s="3012"/>
      <c r="V40" s="3014"/>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9" t="s">
        <v>1784</v>
      </c>
      <c r="C41" s="2300"/>
      <c r="D41" s="2301"/>
      <c r="E41" s="2302"/>
      <c r="F41" s="2302"/>
      <c r="G41" s="2302"/>
      <c r="H41" s="2302"/>
      <c r="I41" s="2303">
        <f>IF(C41="",0,HLOOKUP(C41,'Part V-Utility Allowances'!$I$11:$M$21,11))</f>
        <v>0</v>
      </c>
      <c r="J41" s="2304"/>
      <c r="K41" s="630">
        <f t="shared" si="1"/>
        <v>0</v>
      </c>
      <c r="L41" s="630">
        <f t="shared" si="2"/>
        <v>0</v>
      </c>
      <c r="M41" s="2309"/>
      <c r="N41" s="2309"/>
      <c r="O41" s="2309"/>
      <c r="P41" s="2310"/>
      <c r="Q41" s="2305" t="str">
        <f t="shared" si="3"/>
        <v/>
      </c>
      <c r="R41" s="2306" t="str">
        <f>IF(H41="","",IF(C41="Efficiency",Q41/($O$6*VLOOKUP(0,'DCA Underwriting Assumptions'!$J$143:$K$148,2,FALSE)),Q41/($O$6*VLOOKUP(C41,'DCA Underwriting Assumptions'!$J$143:$K$148,2,FALSE))))</f>
        <v/>
      </c>
      <c r="S41" s="2307"/>
      <c r="T41" s="2308"/>
      <c r="U41" s="3012"/>
      <c r="V41" s="3014"/>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9" t="s">
        <v>1784</v>
      </c>
      <c r="C42" s="2300"/>
      <c r="D42" s="2301"/>
      <c r="E42" s="2302"/>
      <c r="F42" s="2302"/>
      <c r="G42" s="2302"/>
      <c r="H42" s="2302"/>
      <c r="I42" s="2303">
        <f>IF(C42="",0,HLOOKUP(C42,'Part V-Utility Allowances'!$I$11:$M$21,11))</f>
        <v>0</v>
      </c>
      <c r="J42" s="2304"/>
      <c r="K42" s="630">
        <f t="shared" si="1"/>
        <v>0</v>
      </c>
      <c r="L42" s="630">
        <f t="shared" si="2"/>
        <v>0</v>
      </c>
      <c r="M42" s="2309"/>
      <c r="N42" s="2309"/>
      <c r="O42" s="2309"/>
      <c r="P42" s="2310"/>
      <c r="Q42" s="2305" t="str">
        <f t="shared" si="3"/>
        <v/>
      </c>
      <c r="R42" s="2306" t="str">
        <f>IF(H42="","",IF(C42="Efficiency",Q42/($O$6*VLOOKUP(0,'DCA Underwriting Assumptions'!$J$143:$K$148,2,FALSE)),Q42/($O$6*VLOOKUP(C42,'DCA Underwriting Assumptions'!$J$143:$K$148,2,FALSE))))</f>
        <v/>
      </c>
      <c r="S42" s="2307"/>
      <c r="T42" s="2308"/>
      <c r="U42" s="3012"/>
      <c r="V42" s="3014"/>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9" t="s">
        <v>1784</v>
      </c>
      <c r="C43" s="2300"/>
      <c r="D43" s="2301"/>
      <c r="E43" s="2302"/>
      <c r="F43" s="2302"/>
      <c r="G43" s="2302"/>
      <c r="H43" s="2302"/>
      <c r="I43" s="2303">
        <f>IF(C43="",0,HLOOKUP(C43,'Part V-Utility Allowances'!$I$11:$M$21,11))</f>
        <v>0</v>
      </c>
      <c r="J43" s="2304"/>
      <c r="K43" s="630">
        <f t="shared" si="1"/>
        <v>0</v>
      </c>
      <c r="L43" s="630">
        <f t="shared" si="2"/>
        <v>0</v>
      </c>
      <c r="M43" s="2309"/>
      <c r="N43" s="2309"/>
      <c r="O43" s="2309"/>
      <c r="P43" s="2310"/>
      <c r="Q43" s="2305" t="str">
        <f t="shared" si="3"/>
        <v/>
      </c>
      <c r="R43" s="2306" t="str">
        <f>IF(H43="","",IF(C43="Efficiency",Q43/($O$6*VLOOKUP(0,'DCA Underwriting Assumptions'!$J$143:$K$148,2,FALSE)),Q43/($O$6*VLOOKUP(C43,'DCA Underwriting Assumptions'!$J$143:$K$148,2,FALSE))))</f>
        <v/>
      </c>
      <c r="S43" s="2307"/>
      <c r="T43" s="2308"/>
      <c r="U43" s="3012"/>
      <c r="V43" s="3014"/>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9" t="s">
        <v>1784</v>
      </c>
      <c r="C44" s="2300"/>
      <c r="D44" s="2301"/>
      <c r="E44" s="2302"/>
      <c r="F44" s="2302"/>
      <c r="G44" s="2302"/>
      <c r="H44" s="2302"/>
      <c r="I44" s="2303">
        <f>IF(C44="",0,HLOOKUP(C44,'Part V-Utility Allowances'!$I$11:$M$21,11))</f>
        <v>0</v>
      </c>
      <c r="J44" s="2304"/>
      <c r="K44" s="630">
        <f t="shared" si="1"/>
        <v>0</v>
      </c>
      <c r="L44" s="630">
        <f t="shared" si="2"/>
        <v>0</v>
      </c>
      <c r="M44" s="2309"/>
      <c r="N44" s="2309"/>
      <c r="O44" s="2309"/>
      <c r="P44" s="2310"/>
      <c r="Q44" s="2305" t="str">
        <f t="shared" si="3"/>
        <v/>
      </c>
      <c r="R44" s="2306" t="str">
        <f>IF(H44="","",IF(C44="Efficiency",Q44/($O$6*VLOOKUP(0,'DCA Underwriting Assumptions'!$J$143:$K$148,2,FALSE)),Q44/($O$6*VLOOKUP(C44,'DCA Underwriting Assumptions'!$J$143:$K$148,2,FALSE))))</f>
        <v/>
      </c>
      <c r="S44" s="2307"/>
      <c r="T44" s="2308"/>
      <c r="U44" s="3012"/>
      <c r="V44" s="3014"/>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9" t="s">
        <v>1784</v>
      </c>
      <c r="C45" s="2300"/>
      <c r="D45" s="2301"/>
      <c r="E45" s="2302"/>
      <c r="F45" s="2302"/>
      <c r="G45" s="2302"/>
      <c r="H45" s="2302"/>
      <c r="I45" s="2303">
        <f>IF(C45="",0,HLOOKUP(C45,'Part V-Utility Allowances'!$I$11:$M$21,11))</f>
        <v>0</v>
      </c>
      <c r="J45" s="2304"/>
      <c r="K45" s="630">
        <f t="shared" si="1"/>
        <v>0</v>
      </c>
      <c r="L45" s="630">
        <f t="shared" si="2"/>
        <v>0</v>
      </c>
      <c r="M45" s="2309"/>
      <c r="N45" s="2309"/>
      <c r="O45" s="2309"/>
      <c r="P45" s="2310"/>
      <c r="Q45" s="2305" t="str">
        <f t="shared" si="3"/>
        <v/>
      </c>
      <c r="R45" s="2306" t="str">
        <f>IF(H45="","",IF(C45="Efficiency",Q45/($O$6*VLOOKUP(0,'DCA Underwriting Assumptions'!$J$143:$K$148,2,FALSE)),Q45/($O$6*VLOOKUP(C45,'DCA Underwriting Assumptions'!$J$143:$K$148,2,FALSE))))</f>
        <v/>
      </c>
      <c r="S45" s="2307"/>
      <c r="T45" s="2308"/>
      <c r="U45" s="3012"/>
      <c r="V45" s="3014"/>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9" t="s">
        <v>1784</v>
      </c>
      <c r="C46" s="2300"/>
      <c r="D46" s="2301"/>
      <c r="E46" s="2302"/>
      <c r="F46" s="2302"/>
      <c r="G46" s="2302"/>
      <c r="H46" s="2302"/>
      <c r="I46" s="2303">
        <f>IF(C46="",0,HLOOKUP(C46,'Part V-Utility Allowances'!$I$11:$M$21,11))</f>
        <v>0</v>
      </c>
      <c r="J46" s="2304"/>
      <c r="K46" s="630">
        <f t="shared" si="1"/>
        <v>0</v>
      </c>
      <c r="L46" s="630">
        <f t="shared" si="2"/>
        <v>0</v>
      </c>
      <c r="M46" s="2309"/>
      <c r="N46" s="2309"/>
      <c r="O46" s="2309"/>
      <c r="P46" s="2310"/>
      <c r="Q46" s="2305" t="str">
        <f t="shared" si="3"/>
        <v/>
      </c>
      <c r="R46" s="2306" t="str">
        <f>IF(H46="","",IF(C46="Efficiency",Q46/($O$6*VLOOKUP(0,'DCA Underwriting Assumptions'!$J$143:$K$148,2,FALSE)),Q46/($O$6*VLOOKUP(C46,'DCA Underwriting Assumptions'!$J$143:$K$148,2,FALSE))))</f>
        <v/>
      </c>
      <c r="S46" s="2307"/>
      <c r="T46" s="2308"/>
      <c r="U46" s="3012"/>
      <c r="V46" s="3014"/>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11" t="s">
        <v>1784</v>
      </c>
      <c r="C47" s="2312"/>
      <c r="D47" s="2313"/>
      <c r="E47" s="2314"/>
      <c r="F47" s="2314"/>
      <c r="G47" s="2314"/>
      <c r="H47" s="2314"/>
      <c r="I47" s="2315">
        <f>IF(C47="",0,HLOOKUP(C47,'Part V-Utility Allowances'!$I$11:$M$21,11))</f>
        <v>0</v>
      </c>
      <c r="J47" s="2316"/>
      <c r="K47" s="631">
        <f t="shared" si="1"/>
        <v>0</v>
      </c>
      <c r="L47" s="631">
        <f t="shared" si="2"/>
        <v>0</v>
      </c>
      <c r="M47" s="2317"/>
      <c r="N47" s="2317"/>
      <c r="O47" s="2317"/>
      <c r="P47" s="2318"/>
      <c r="Q47" s="2319" t="str">
        <f t="shared" si="3"/>
        <v/>
      </c>
      <c r="R47" s="2320" t="str">
        <f>IF(H47="","",IF(C47="Efficiency",Q47/($O$6*VLOOKUP(0,'DCA Underwriting Assumptions'!$J$143:$K$148,2,FALSE)),Q47/($O$6*VLOOKUP(C47,'DCA Underwriting Assumptions'!$J$143:$K$148,2,FALSE))))</f>
        <v/>
      </c>
      <c r="S47" s="2321"/>
      <c r="T47" s="2322"/>
      <c r="U47" s="3009"/>
      <c r="V47" s="3011"/>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84</v>
      </c>
      <c r="F48" s="974">
        <f>(E10*F10+E11*F11+E12*F12+E13*F13+E14*F14+E15*F15+E16*F16+E17*F17+E18*F18+E19*F19+E20*F20+E21*F21+E22*F22+E23*F23+E24*F24+E25*F25+E26*F26+E27*F27+E28*F28+E29*F29+E30*F30+E31*F31+E32*F32+E33*F33+E34*F34+E35*F35+E36*F36+E37*F37+E38*F38+E39*F39+E40*F40+E41*F41+E42*F42+E43*F43+E44*F44+E45*F45+E46*F46+E47*F47)</f>
        <v>92334</v>
      </c>
      <c r="G48" s="603"/>
      <c r="H48" s="604"/>
      <c r="I48" s="604"/>
      <c r="J48" s="604"/>
      <c r="K48" s="977" t="s">
        <v>1314</v>
      </c>
      <c r="L48" s="127">
        <f>SUM(L10:L47)</f>
        <v>53478</v>
      </c>
      <c r="M48" s="97"/>
      <c r="N48" s="605"/>
      <c r="O48" s="97"/>
      <c r="P48" s="490"/>
      <c r="Q48" s="490"/>
      <c r="R48" s="490"/>
      <c r="S48" s="490"/>
      <c r="T48" s="490"/>
      <c r="U48" s="955"/>
      <c r="V48" s="606"/>
      <c r="W48" s="607">
        <f t="shared" ref="W48:CH48" si="259">SUM(W10:W47)</f>
        <v>0</v>
      </c>
      <c r="X48" s="607">
        <f t="shared" si="259"/>
        <v>4</v>
      </c>
      <c r="Y48" s="607">
        <f t="shared" si="259"/>
        <v>36</v>
      </c>
      <c r="Z48" s="607">
        <f t="shared" si="259"/>
        <v>10</v>
      </c>
      <c r="AA48" s="607">
        <f t="shared" si="259"/>
        <v>0</v>
      </c>
      <c r="AB48" s="607">
        <f t="shared" si="259"/>
        <v>0</v>
      </c>
      <c r="AC48" s="607">
        <f t="shared" si="259"/>
        <v>4</v>
      </c>
      <c r="AD48" s="607">
        <f t="shared" si="259"/>
        <v>9</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2</v>
      </c>
      <c r="AN48" s="607">
        <f t="shared" si="259"/>
        <v>11</v>
      </c>
      <c r="AO48" s="607">
        <f t="shared" si="259"/>
        <v>4</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3344</v>
      </c>
      <c r="CB48" s="607">
        <f t="shared" si="259"/>
        <v>39276</v>
      </c>
      <c r="CC48" s="607">
        <f t="shared" si="259"/>
        <v>12710</v>
      </c>
      <c r="CD48" s="607">
        <f t="shared" si="259"/>
        <v>0</v>
      </c>
      <c r="CE48" s="607">
        <f t="shared" si="259"/>
        <v>0</v>
      </c>
      <c r="CF48" s="607">
        <f t="shared" si="259"/>
        <v>3344</v>
      </c>
      <c r="CG48" s="607">
        <f t="shared" si="259"/>
        <v>9819</v>
      </c>
      <c r="CH48" s="607">
        <f t="shared" si="259"/>
        <v>5084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1672</v>
      </c>
      <c r="CQ48" s="607">
        <f t="shared" si="260"/>
        <v>12001</v>
      </c>
      <c r="CR48" s="607">
        <f t="shared" si="260"/>
        <v>5084</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8</v>
      </c>
      <c r="DF48" s="607">
        <f t="shared" si="260"/>
        <v>45</v>
      </c>
      <c r="DG48" s="607">
        <f t="shared" si="260"/>
        <v>14</v>
      </c>
      <c r="DH48" s="607">
        <f t="shared" si="260"/>
        <v>0</v>
      </c>
      <c r="DI48" s="607">
        <f t="shared" si="260"/>
        <v>0</v>
      </c>
      <c r="DJ48" s="607">
        <f t="shared" si="260"/>
        <v>2</v>
      </c>
      <c r="DK48" s="607">
        <f t="shared" si="260"/>
        <v>11</v>
      </c>
      <c r="DL48" s="607">
        <f t="shared" si="260"/>
        <v>4</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10</v>
      </c>
      <c r="EY48" s="476">
        <f t="shared" si="261"/>
        <v>56</v>
      </c>
      <c r="EZ48" s="476">
        <f t="shared" si="261"/>
        <v>18</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10</v>
      </c>
      <c r="HV48" s="476">
        <f t="shared" si="262"/>
        <v>56</v>
      </c>
      <c r="HW48" s="476">
        <f t="shared" si="262"/>
        <v>18</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10</v>
      </c>
      <c r="JJ48" s="476">
        <f t="shared" si="262"/>
        <v>56</v>
      </c>
      <c r="JK48" s="476">
        <f t="shared" si="262"/>
        <v>18</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641736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56" t="s">
        <v>2639</v>
      </c>
      <c r="B51" s="3057"/>
      <c r="C51" s="3057"/>
      <c r="D51" s="3057"/>
      <c r="E51" s="3057"/>
      <c r="F51" s="3057"/>
      <c r="G51" s="3057"/>
      <c r="H51" s="3057"/>
      <c r="I51" s="3057"/>
      <c r="J51" s="3057"/>
      <c r="K51" s="3057"/>
      <c r="L51" s="3057"/>
      <c r="M51" s="3057"/>
      <c r="N51" s="3057"/>
      <c r="O51" s="3057"/>
      <c r="P51" s="3057"/>
      <c r="Q51" s="2323"/>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57"/>
      <c r="B52" s="3057"/>
      <c r="C52" s="3057"/>
      <c r="D52" s="3057"/>
      <c r="E52" s="3057"/>
      <c r="F52" s="3057"/>
      <c r="G52" s="3057"/>
      <c r="H52" s="3057"/>
      <c r="I52" s="3057"/>
      <c r="J52" s="3057"/>
      <c r="K52" s="3057"/>
      <c r="L52" s="3057"/>
      <c r="M52" s="3057"/>
      <c r="N52" s="3057"/>
      <c r="O52" s="3057"/>
      <c r="P52" s="3057"/>
      <c r="Q52" s="2323"/>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20" t="str">
        <f>B53</f>
        <v>UNIT SUMMARY</v>
      </c>
      <c r="S53" s="3020"/>
      <c r="T53" s="3020"/>
      <c r="U53" s="3020"/>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36</v>
      </c>
      <c r="M56" s="1029">
        <f>Z48</f>
        <v>10</v>
      </c>
      <c r="N56" s="1029">
        <f>AA48</f>
        <v>0</v>
      </c>
      <c r="O56" s="1029">
        <f t="shared" ref="O56:O62" si="263">SUM(J56:N56)</f>
        <v>50</v>
      </c>
      <c r="P56" s="3060" t="s">
        <v>3696</v>
      </c>
      <c r="Q56" s="1594"/>
      <c r="R56" s="3016"/>
      <c r="S56" s="3017"/>
      <c r="T56" s="3017"/>
      <c r="U56" s="3017"/>
      <c r="V56" s="3018"/>
      <c r="W56" s="490"/>
      <c r="Z56" s="490"/>
      <c r="AA56" s="53"/>
      <c r="AB56" s="604"/>
      <c r="AC56" s="604"/>
      <c r="AD56" s="604"/>
      <c r="AE56" s="604"/>
      <c r="AF56" s="604"/>
      <c r="AG56" s="604"/>
      <c r="AH56" s="53"/>
      <c r="AI56" s="97"/>
      <c r="IL56" s="477"/>
      <c r="JA56" s="464"/>
    </row>
    <row r="57" spans="1:296" ht="12" customHeight="1">
      <c r="A57" s="3061" t="s">
        <v>444</v>
      </c>
      <c r="B57" s="3061"/>
      <c r="C57" s="4"/>
      <c r="D57" s="1"/>
      <c r="E57" s="1"/>
      <c r="F57" s="1"/>
      <c r="G57" s="85"/>
      <c r="H57" s="37" t="s">
        <v>119</v>
      </c>
      <c r="I57" s="85"/>
      <c r="J57" s="636">
        <f>AB48</f>
        <v>0</v>
      </c>
      <c r="K57" s="636">
        <f>AC48</f>
        <v>4</v>
      </c>
      <c r="L57" s="636">
        <f>AD48</f>
        <v>9</v>
      </c>
      <c r="M57" s="636">
        <f>AE48</f>
        <v>4</v>
      </c>
      <c r="N57" s="636">
        <f>AF48</f>
        <v>0</v>
      </c>
      <c r="O57" s="636">
        <f t="shared" si="263"/>
        <v>17</v>
      </c>
      <c r="P57" s="3060"/>
      <c r="Q57" s="1594"/>
      <c r="R57" s="3012"/>
      <c r="S57" s="3013"/>
      <c r="T57" s="3013"/>
      <c r="U57" s="3013"/>
      <c r="V57" s="3014"/>
      <c r="W57" s="10"/>
      <c r="Z57" s="490"/>
      <c r="AA57" s="53"/>
      <c r="AB57" s="604"/>
      <c r="AC57" s="604"/>
      <c r="AD57" s="604"/>
      <c r="AE57" s="604"/>
      <c r="AF57" s="604"/>
      <c r="AG57" s="604"/>
      <c r="AH57" s="53"/>
      <c r="AI57" s="97"/>
      <c r="IL57" s="477"/>
      <c r="JA57" s="464"/>
    </row>
    <row r="58" spans="1:296" ht="12" customHeight="1">
      <c r="A58" s="3061"/>
      <c r="B58" s="3061"/>
      <c r="C58" s="4"/>
      <c r="D58" s="1"/>
      <c r="E58" s="1"/>
      <c r="F58" s="1"/>
      <c r="G58" s="85"/>
      <c r="H58" s="37" t="s">
        <v>544</v>
      </c>
      <c r="I58" s="85"/>
      <c r="J58" s="632">
        <f>SUM(J56:J57)</f>
        <v>0</v>
      </c>
      <c r="K58" s="632">
        <f>SUM(K56:K57)</f>
        <v>8</v>
      </c>
      <c r="L58" s="632">
        <f>SUM(L56:L57)</f>
        <v>45</v>
      </c>
      <c r="M58" s="632">
        <f>SUM(M56:M57)</f>
        <v>14</v>
      </c>
      <c r="N58" s="632">
        <f>SUM(N56:N57)</f>
        <v>0</v>
      </c>
      <c r="O58" s="632">
        <f t="shared" si="263"/>
        <v>67</v>
      </c>
      <c r="P58" s="3060"/>
      <c r="R58" s="3012"/>
      <c r="S58" s="3013"/>
      <c r="T58" s="3013"/>
      <c r="U58" s="3013"/>
      <c r="V58" s="3014"/>
      <c r="W58" s="10"/>
      <c r="Z58" s="490"/>
      <c r="AA58" s="53"/>
      <c r="AB58" s="604"/>
      <c r="AC58" s="604"/>
      <c r="AD58" s="604"/>
      <c r="AE58" s="604"/>
      <c r="AF58" s="604"/>
      <c r="AG58" s="604"/>
      <c r="AH58" s="53"/>
      <c r="AI58" s="97"/>
      <c r="IL58" s="477"/>
      <c r="JA58" s="464"/>
    </row>
    <row r="59" spans="1:296" ht="12" customHeight="1">
      <c r="A59" s="3061"/>
      <c r="B59" s="3061"/>
      <c r="C59" s="97" t="s">
        <v>305</v>
      </c>
      <c r="D59" s="1"/>
      <c r="E59" s="1"/>
      <c r="F59" s="1"/>
      <c r="G59" s="85"/>
      <c r="H59" s="37"/>
      <c r="I59" s="85"/>
      <c r="J59" s="633">
        <f>AL48</f>
        <v>0</v>
      </c>
      <c r="K59" s="633">
        <f>AM48</f>
        <v>2</v>
      </c>
      <c r="L59" s="633">
        <f>AN48</f>
        <v>11</v>
      </c>
      <c r="M59" s="633">
        <f>AO48</f>
        <v>4</v>
      </c>
      <c r="N59" s="633">
        <f>AP48</f>
        <v>0</v>
      </c>
      <c r="O59" s="633">
        <f t="shared" si="263"/>
        <v>17</v>
      </c>
      <c r="R59" s="3012"/>
      <c r="S59" s="3013"/>
      <c r="T59" s="3013"/>
      <c r="U59" s="3013"/>
      <c r="V59" s="3014"/>
      <c r="W59" s="97"/>
      <c r="Z59" s="490"/>
      <c r="AA59" s="53"/>
      <c r="AB59" s="604"/>
      <c r="AC59" s="604"/>
      <c r="AD59" s="604"/>
      <c r="AE59" s="604"/>
      <c r="AF59" s="604"/>
      <c r="AG59" s="604"/>
      <c r="AH59" s="430"/>
      <c r="AI59" s="97"/>
      <c r="IL59" s="477"/>
      <c r="JA59" s="464"/>
    </row>
    <row r="60" spans="1:296" ht="12" customHeight="1">
      <c r="A60" s="3061"/>
      <c r="B60" s="3061"/>
      <c r="C60" s="97" t="s">
        <v>1148</v>
      </c>
      <c r="D60" s="1"/>
      <c r="E60" s="1"/>
      <c r="F60" s="1"/>
      <c r="G60" s="85"/>
      <c r="H60" s="37"/>
      <c r="I60" s="85"/>
      <c r="J60" s="632">
        <f>SUM(J58:J59)</f>
        <v>0</v>
      </c>
      <c r="K60" s="632">
        <f>SUM(K58:K59)</f>
        <v>10</v>
      </c>
      <c r="L60" s="632">
        <f>SUM(L58:L59)</f>
        <v>56</v>
      </c>
      <c r="M60" s="632">
        <f>SUM(M58:M59)</f>
        <v>18</v>
      </c>
      <c r="N60" s="632">
        <f>SUM(N58:N59)</f>
        <v>0</v>
      </c>
      <c r="O60" s="632">
        <f t="shared" si="263"/>
        <v>84</v>
      </c>
      <c r="R60" s="3012"/>
      <c r="S60" s="3013"/>
      <c r="T60" s="3013"/>
      <c r="U60" s="3013"/>
      <c r="V60" s="3014"/>
      <c r="W60" s="490"/>
      <c r="Z60" s="490"/>
      <c r="AA60" s="53"/>
      <c r="AB60" s="604"/>
      <c r="AC60" s="604"/>
      <c r="AD60" s="604"/>
      <c r="AE60" s="604"/>
      <c r="AF60" s="604"/>
      <c r="AG60" s="604"/>
      <c r="AH60" s="430"/>
      <c r="AI60" s="97"/>
      <c r="IL60" s="477"/>
      <c r="JA60" s="464"/>
    </row>
    <row r="61" spans="1:296" ht="12" customHeight="1">
      <c r="A61" s="3061"/>
      <c r="B61" s="3061"/>
      <c r="C61" s="97" t="s">
        <v>2529</v>
      </c>
      <c r="D61" s="1"/>
      <c r="E61" s="1"/>
      <c r="F61" s="1"/>
      <c r="G61" s="85"/>
      <c r="H61" s="37"/>
      <c r="I61" s="85"/>
      <c r="J61" s="633">
        <f>BU48</f>
        <v>0</v>
      </c>
      <c r="K61" s="633">
        <f>BV48</f>
        <v>0</v>
      </c>
      <c r="L61" s="633">
        <f>BW48</f>
        <v>0</v>
      </c>
      <c r="M61" s="633">
        <f>BX48</f>
        <v>0</v>
      </c>
      <c r="N61" s="633">
        <f>BY48</f>
        <v>0</v>
      </c>
      <c r="O61" s="633">
        <f t="shared" si="263"/>
        <v>0</v>
      </c>
      <c r="P61" s="517" t="s">
        <v>3697</v>
      </c>
      <c r="R61" s="3012"/>
      <c r="S61" s="3013"/>
      <c r="T61" s="3013"/>
      <c r="U61" s="3013"/>
      <c r="V61" s="3014"/>
      <c r="W61" s="490"/>
      <c r="Z61" s="490"/>
      <c r="AA61" s="53"/>
      <c r="AB61" s="604"/>
      <c r="AC61" s="604"/>
      <c r="AD61" s="604"/>
      <c r="AE61" s="604"/>
      <c r="AF61" s="604"/>
      <c r="AG61" s="604"/>
      <c r="AH61" s="53"/>
      <c r="AI61" s="97"/>
      <c r="IL61" s="477"/>
      <c r="JA61" s="464"/>
    </row>
    <row r="62" spans="1:296" ht="12" customHeight="1">
      <c r="A62" s="3061"/>
      <c r="B62" s="3061"/>
      <c r="C62" s="97" t="s">
        <v>544</v>
      </c>
      <c r="D62" s="1"/>
      <c r="E62" s="1"/>
      <c r="F62" s="1"/>
      <c r="G62" s="85"/>
      <c r="H62" s="37"/>
      <c r="I62" s="85"/>
      <c r="J62" s="634">
        <f>SUM(J60:J61)</f>
        <v>0</v>
      </c>
      <c r="K62" s="634">
        <f>SUM(K60:K61)</f>
        <v>10</v>
      </c>
      <c r="L62" s="634">
        <f>SUM(L60:L61)</f>
        <v>56</v>
      </c>
      <c r="M62" s="634">
        <f>SUM(M60:M61)</f>
        <v>18</v>
      </c>
      <c r="N62" s="634">
        <f>SUM(N60:N61)</f>
        <v>0</v>
      </c>
      <c r="O62" s="634">
        <f t="shared" si="263"/>
        <v>84</v>
      </c>
      <c r="R62" s="3009"/>
      <c r="S62" s="3010"/>
      <c r="T62" s="3010"/>
      <c r="U62" s="3010"/>
      <c r="V62" s="3011"/>
      <c r="W62" s="490"/>
      <c r="Z62" s="490"/>
      <c r="AA62" s="53"/>
      <c r="AB62" s="604"/>
      <c r="AC62" s="604"/>
      <c r="AD62" s="604"/>
      <c r="AE62" s="604"/>
      <c r="AF62" s="604"/>
      <c r="AG62" s="604"/>
      <c r="AH62" s="488"/>
      <c r="AI62" s="97"/>
      <c r="IL62" s="477"/>
      <c r="JA62" s="464"/>
    </row>
    <row r="63" spans="1:296" ht="9" customHeight="1">
      <c r="A63" s="3061"/>
      <c r="B63" s="30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61"/>
      <c r="B64" s="3061"/>
      <c r="C64" s="97" t="s">
        <v>943</v>
      </c>
      <c r="D64" s="1"/>
      <c r="E64" s="113"/>
      <c r="F64" s="1"/>
      <c r="G64" s="85"/>
      <c r="H64" s="37" t="s">
        <v>1159</v>
      </c>
      <c r="I64" s="85"/>
      <c r="J64" s="1029">
        <f>BA48</f>
        <v>0</v>
      </c>
      <c r="K64" s="1029">
        <f>BB48</f>
        <v>0</v>
      </c>
      <c r="L64" s="1029">
        <f>BC48</f>
        <v>0</v>
      </c>
      <c r="M64" s="1029">
        <f>BD48</f>
        <v>0</v>
      </c>
      <c r="N64" s="1029">
        <f>BE48</f>
        <v>0</v>
      </c>
      <c r="O64" s="1029">
        <f>SUM(J64:N64)</f>
        <v>0</v>
      </c>
      <c r="R64" s="3016"/>
      <c r="S64" s="3017"/>
      <c r="T64" s="3017"/>
      <c r="U64" s="3017"/>
      <c r="V64" s="3018"/>
      <c r="W64" s="490"/>
      <c r="Z64" s="490"/>
      <c r="AA64" s="53"/>
      <c r="AB64" s="604"/>
      <c r="AC64" s="604"/>
      <c r="AD64" s="604"/>
      <c r="AE64" s="604"/>
      <c r="AF64" s="604"/>
      <c r="AG64" s="604"/>
      <c r="AH64" s="53"/>
      <c r="AI64" s="97"/>
      <c r="IL64" s="477"/>
      <c r="JA64" s="464"/>
    </row>
    <row r="65" spans="1:261" ht="12" customHeight="1">
      <c r="A65" s="3061"/>
      <c r="B65" s="3061"/>
      <c r="C65" s="37" t="s">
        <v>2530</v>
      </c>
      <c r="D65" s="1"/>
      <c r="E65" s="113"/>
      <c r="F65" s="1"/>
      <c r="G65" s="85"/>
      <c r="H65" s="37" t="s">
        <v>119</v>
      </c>
      <c r="I65" s="85"/>
      <c r="J65" s="636">
        <f>AV48</f>
        <v>0</v>
      </c>
      <c r="K65" s="636">
        <f>AW48</f>
        <v>0</v>
      </c>
      <c r="L65" s="636">
        <f>AX48</f>
        <v>0</v>
      </c>
      <c r="M65" s="636">
        <f>AY48</f>
        <v>0</v>
      </c>
      <c r="N65" s="636">
        <f>AZ48</f>
        <v>0</v>
      </c>
      <c r="O65" s="636">
        <f>SUM(J65:N65)</f>
        <v>0</v>
      </c>
      <c r="R65" s="3012"/>
      <c r="S65" s="3013"/>
      <c r="T65" s="3013"/>
      <c r="U65" s="3013"/>
      <c r="V65" s="3014"/>
      <c r="W65" s="53"/>
      <c r="Z65" s="490"/>
      <c r="AA65" s="53"/>
      <c r="AB65" s="604"/>
      <c r="AC65" s="604"/>
      <c r="AD65" s="604"/>
      <c r="AE65" s="604"/>
      <c r="AF65" s="604"/>
      <c r="AG65" s="604"/>
      <c r="AH65" s="53"/>
      <c r="AI65" s="97"/>
      <c r="IL65" s="477"/>
      <c r="JA65" s="464"/>
    </row>
    <row r="66" spans="1:261" ht="12" customHeight="1">
      <c r="A66" s="3061"/>
      <c r="B66" s="3061"/>
      <c r="C66" s="4"/>
      <c r="D66" s="1"/>
      <c r="E66" s="113"/>
      <c r="F66" s="1"/>
      <c r="G66" s="85"/>
      <c r="H66" s="37" t="s">
        <v>544</v>
      </c>
      <c r="I66" s="85"/>
      <c r="J66" s="634">
        <f>SUM(J64:J65)</f>
        <v>0</v>
      </c>
      <c r="K66" s="634">
        <f>SUM(K64:K65)</f>
        <v>0</v>
      </c>
      <c r="L66" s="634">
        <f>SUM(L64:L65)</f>
        <v>0</v>
      </c>
      <c r="M66" s="634">
        <f>SUM(M64:M65)</f>
        <v>0</v>
      </c>
      <c r="N66" s="634">
        <f>SUM(N64:N65)</f>
        <v>0</v>
      </c>
      <c r="O66" s="634">
        <f>SUM(J66:N66)</f>
        <v>0</v>
      </c>
      <c r="R66" s="3009"/>
      <c r="S66" s="3010"/>
      <c r="T66" s="3010"/>
      <c r="U66" s="3010"/>
      <c r="V66" s="3011"/>
      <c r="W66" s="10"/>
      <c r="Z66" s="490"/>
      <c r="AA66" s="53"/>
      <c r="AB66" s="604"/>
      <c r="AC66" s="604"/>
      <c r="AD66" s="604"/>
      <c r="AE66" s="604"/>
      <c r="AF66" s="604"/>
      <c r="AG66" s="604"/>
      <c r="AH66" s="53"/>
      <c r="AI66" s="97"/>
      <c r="IL66" s="477"/>
      <c r="JA66" s="464"/>
    </row>
    <row r="67" spans="1:261" ht="9" customHeight="1">
      <c r="A67" s="3061"/>
      <c r="B67" s="30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61"/>
      <c r="B68" s="3061"/>
      <c r="C68" s="3062" t="s">
        <v>899</v>
      </c>
      <c r="D68" s="3062"/>
      <c r="E68" s="3062"/>
      <c r="F68" s="1"/>
      <c r="G68" s="85"/>
      <c r="H68" s="37" t="s">
        <v>1159</v>
      </c>
      <c r="I68" s="85"/>
      <c r="J68" s="1029">
        <f>BP48</f>
        <v>0</v>
      </c>
      <c r="K68" s="1029">
        <f>BQ48</f>
        <v>0</v>
      </c>
      <c r="L68" s="1029">
        <f>BR48</f>
        <v>0</v>
      </c>
      <c r="M68" s="1029">
        <f>BS48</f>
        <v>0</v>
      </c>
      <c r="N68" s="1029">
        <f>BT48</f>
        <v>0</v>
      </c>
      <c r="O68" s="1029">
        <f>SUM(J68:N68)</f>
        <v>0</v>
      </c>
      <c r="R68" s="3016"/>
      <c r="S68" s="3017"/>
      <c r="T68" s="3017"/>
      <c r="U68" s="3017"/>
      <c r="V68" s="3018"/>
      <c r="W68" s="97"/>
      <c r="Z68" s="490"/>
      <c r="AA68" s="53"/>
      <c r="AB68" s="604"/>
      <c r="AC68" s="604"/>
      <c r="AD68" s="604"/>
      <c r="AE68" s="604"/>
      <c r="AF68" s="604"/>
      <c r="AG68" s="604"/>
      <c r="AH68" s="53"/>
      <c r="AI68" s="97"/>
      <c r="IL68" s="477"/>
      <c r="JA68" s="464"/>
    </row>
    <row r="69" spans="1:261" ht="12" customHeight="1">
      <c r="A69" s="3061"/>
      <c r="B69" s="3061"/>
      <c r="C69" s="3062"/>
      <c r="D69" s="3062"/>
      <c r="E69" s="3062"/>
      <c r="F69" s="1"/>
      <c r="G69" s="85"/>
      <c r="H69" s="37" t="s">
        <v>119</v>
      </c>
      <c r="I69" s="85"/>
      <c r="J69" s="636">
        <f>BK48</f>
        <v>0</v>
      </c>
      <c r="K69" s="636">
        <f>BL48</f>
        <v>0</v>
      </c>
      <c r="L69" s="636">
        <f>BM48</f>
        <v>0</v>
      </c>
      <c r="M69" s="636">
        <f>BN48</f>
        <v>0</v>
      </c>
      <c r="N69" s="636">
        <f>BO48</f>
        <v>0</v>
      </c>
      <c r="O69" s="636">
        <f>SUM(J69:N69)</f>
        <v>0</v>
      </c>
      <c r="R69" s="3012"/>
      <c r="S69" s="3013"/>
      <c r="T69" s="3013"/>
      <c r="U69" s="3013"/>
      <c r="V69" s="3014"/>
      <c r="W69" s="37"/>
      <c r="Z69" s="490"/>
      <c r="AA69" s="53"/>
      <c r="AB69" s="604"/>
      <c r="AC69" s="604"/>
      <c r="AD69" s="604"/>
      <c r="AE69" s="604"/>
      <c r="AF69" s="604"/>
      <c r="AG69" s="604"/>
      <c r="AH69" s="53"/>
      <c r="AI69" s="97"/>
      <c r="IL69" s="477"/>
      <c r="JA69" s="464"/>
    </row>
    <row r="70" spans="1:261" ht="12" customHeight="1">
      <c r="A70" s="3061"/>
      <c r="B70" s="3061"/>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009"/>
      <c r="S70" s="3010"/>
      <c r="T70" s="3010"/>
      <c r="U70" s="3010"/>
      <c r="V70" s="3011"/>
      <c r="W70" s="10"/>
      <c r="Z70" s="490"/>
      <c r="AA70" s="53"/>
      <c r="AB70" s="604"/>
      <c r="AC70" s="604"/>
      <c r="AD70" s="604"/>
      <c r="AE70" s="604"/>
      <c r="AF70" s="604"/>
      <c r="AG70" s="604"/>
      <c r="AH70" s="53"/>
      <c r="AI70" s="97"/>
      <c r="IL70" s="477"/>
      <c r="JA70" s="464"/>
    </row>
    <row r="71" spans="1:261" ht="9" customHeight="1">
      <c r="A71" s="3061"/>
      <c r="B71" s="30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61"/>
      <c r="B72" s="3061"/>
      <c r="C72" s="3063" t="s">
        <v>39</v>
      </c>
      <c r="D72" s="3063"/>
      <c r="E72" s="106" t="s">
        <v>2312</v>
      </c>
      <c r="F72" s="1"/>
      <c r="G72" s="85"/>
      <c r="H72" s="37" t="s">
        <v>1444</v>
      </c>
      <c r="I72" s="85"/>
      <c r="J72" s="632">
        <f>DD48</f>
        <v>0</v>
      </c>
      <c r="K72" s="632">
        <f>DE48</f>
        <v>8</v>
      </c>
      <c r="L72" s="632">
        <f>DF48</f>
        <v>45</v>
      </c>
      <c r="M72" s="632">
        <f>DG48</f>
        <v>14</v>
      </c>
      <c r="N72" s="632">
        <f>DH48</f>
        <v>0</v>
      </c>
      <c r="O72" s="632">
        <f t="shared" ref="O72:O82" si="264">SUM(J72:N72)</f>
        <v>67</v>
      </c>
      <c r="R72" s="3016"/>
      <c r="S72" s="3017"/>
      <c r="T72" s="3017"/>
      <c r="U72" s="3017"/>
      <c r="V72" s="30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61"/>
      <c r="B73" s="3061"/>
      <c r="C73" s="3063"/>
      <c r="D73" s="3063"/>
      <c r="E73" s="113"/>
      <c r="F73" s="1"/>
      <c r="G73" s="85"/>
      <c r="H73" s="37" t="s">
        <v>305</v>
      </c>
      <c r="I73" s="85"/>
      <c r="J73" s="633">
        <f>DI48</f>
        <v>0</v>
      </c>
      <c r="K73" s="633">
        <f>DJ48</f>
        <v>2</v>
      </c>
      <c r="L73" s="633">
        <f>DK48</f>
        <v>11</v>
      </c>
      <c r="M73" s="633">
        <f>DL48</f>
        <v>4</v>
      </c>
      <c r="N73" s="633">
        <f>DM48</f>
        <v>0</v>
      </c>
      <c r="O73" s="633">
        <f t="shared" si="264"/>
        <v>17</v>
      </c>
      <c r="R73" s="3012"/>
      <c r="S73" s="3013"/>
      <c r="T73" s="3013"/>
      <c r="U73" s="3013"/>
      <c r="V73" s="3014"/>
      <c r="W73" s="490"/>
      <c r="Z73" s="490"/>
      <c r="AA73" s="53"/>
      <c r="AB73" s="604"/>
      <c r="AC73" s="604"/>
      <c r="AD73" s="604"/>
      <c r="AE73" s="604"/>
      <c r="AF73" s="604"/>
      <c r="AG73" s="604"/>
      <c r="AH73" s="430"/>
      <c r="AI73" s="97"/>
      <c r="IL73" s="477"/>
      <c r="JA73" s="464"/>
    </row>
    <row r="74" spans="1:261" ht="12" customHeight="1">
      <c r="A74" s="3061"/>
      <c r="B74" s="3061"/>
      <c r="C74" s="3063"/>
      <c r="D74" s="3063"/>
      <c r="E74" s="113"/>
      <c r="F74" s="1"/>
      <c r="G74" s="85"/>
      <c r="H74" s="37" t="s">
        <v>32</v>
      </c>
      <c r="I74" s="85"/>
      <c r="J74" s="634">
        <f>SUM(J72:J73)+DN48</f>
        <v>0</v>
      </c>
      <c r="K74" s="634">
        <f>SUM(K72:K73)+DO48</f>
        <v>10</v>
      </c>
      <c r="L74" s="634">
        <f>SUM(L72:L73)+DP48</f>
        <v>56</v>
      </c>
      <c r="M74" s="634">
        <f>SUM(M72:M73)+DQ48</f>
        <v>18</v>
      </c>
      <c r="N74" s="634">
        <f>SUM(N72:N73)+DR48</f>
        <v>0</v>
      </c>
      <c r="O74" s="634">
        <f t="shared" si="264"/>
        <v>84</v>
      </c>
      <c r="R74" s="3012"/>
      <c r="S74" s="3013"/>
      <c r="T74" s="3013"/>
      <c r="U74" s="3013"/>
      <c r="V74" s="3014"/>
      <c r="W74" s="10"/>
      <c r="Z74" s="490"/>
      <c r="AA74" s="37"/>
      <c r="AB74" s="604"/>
      <c r="AC74" s="604"/>
      <c r="AD74" s="604"/>
      <c r="AE74" s="604"/>
      <c r="AF74" s="604"/>
      <c r="AG74" s="604"/>
      <c r="AH74" s="53"/>
      <c r="AI74" s="97"/>
      <c r="IL74" s="477"/>
      <c r="JA74" s="464"/>
    </row>
    <row r="75" spans="1:261" ht="12" customHeight="1">
      <c r="A75" s="3061"/>
      <c r="B75" s="3061"/>
      <c r="C75" s="3063"/>
      <c r="D75" s="3063"/>
      <c r="E75" s="106" t="s">
        <v>2154</v>
      </c>
      <c r="F75" s="1"/>
      <c r="G75" s="85"/>
      <c r="H75" s="37" t="s">
        <v>1444</v>
      </c>
      <c r="I75" s="85"/>
      <c r="J75" s="632">
        <f>DS48</f>
        <v>0</v>
      </c>
      <c r="K75" s="632">
        <f>DT48</f>
        <v>0</v>
      </c>
      <c r="L75" s="632">
        <f>DU48</f>
        <v>0</v>
      </c>
      <c r="M75" s="632">
        <f>DV48</f>
        <v>0</v>
      </c>
      <c r="N75" s="632">
        <f>DW48</f>
        <v>0</v>
      </c>
      <c r="O75" s="632">
        <f t="shared" si="264"/>
        <v>0</v>
      </c>
      <c r="R75" s="3012"/>
      <c r="S75" s="3013"/>
      <c r="T75" s="3013"/>
      <c r="U75" s="3013"/>
      <c r="V75" s="3014"/>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61"/>
      <c r="B76" s="3061"/>
      <c r="C76" s="3063"/>
      <c r="D76" s="3063"/>
      <c r="E76" s="113"/>
      <c r="F76" s="1"/>
      <c r="G76" s="85"/>
      <c r="H76" s="37" t="s">
        <v>305</v>
      </c>
      <c r="I76" s="85"/>
      <c r="J76" s="633">
        <f>DX48</f>
        <v>0</v>
      </c>
      <c r="K76" s="633">
        <f>DY48</f>
        <v>0</v>
      </c>
      <c r="L76" s="633">
        <f>DZ48</f>
        <v>0</v>
      </c>
      <c r="M76" s="633">
        <f>EA48</f>
        <v>0</v>
      </c>
      <c r="N76" s="633">
        <f>EB48</f>
        <v>0</v>
      </c>
      <c r="O76" s="633">
        <f t="shared" si="264"/>
        <v>0</v>
      </c>
      <c r="R76" s="3012"/>
      <c r="S76" s="3013"/>
      <c r="T76" s="3013"/>
      <c r="U76" s="3013"/>
      <c r="V76" s="3014"/>
      <c r="W76" s="490"/>
      <c r="Z76" s="490"/>
      <c r="AA76" s="53"/>
      <c r="AB76" s="604"/>
      <c r="AC76" s="604"/>
      <c r="AD76" s="604"/>
      <c r="AE76" s="604"/>
      <c r="AF76" s="604"/>
      <c r="AG76" s="604"/>
      <c r="AH76" s="430"/>
      <c r="AI76" s="97"/>
      <c r="IL76" s="477"/>
      <c r="JA76" s="464"/>
    </row>
    <row r="77" spans="1:261" ht="12" customHeight="1">
      <c r="A77" s="3061"/>
      <c r="B77" s="3061"/>
      <c r="C77" s="3063"/>
      <c r="D77" s="30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12"/>
      <c r="S77" s="3013"/>
      <c r="T77" s="3013"/>
      <c r="U77" s="3013"/>
      <c r="V77" s="3014"/>
      <c r="W77" s="10"/>
      <c r="Z77" s="490"/>
      <c r="AA77" s="37"/>
      <c r="AB77" s="604"/>
      <c r="AC77" s="604"/>
      <c r="AD77" s="604"/>
      <c r="AE77" s="604"/>
      <c r="AF77" s="604"/>
      <c r="AG77" s="604"/>
      <c r="AH77" s="53"/>
      <c r="AI77" s="97"/>
      <c r="IL77" s="477"/>
      <c r="JA77" s="464"/>
    </row>
    <row r="78" spans="1:261" ht="12" customHeight="1">
      <c r="A78" s="3061"/>
      <c r="B78" s="3061"/>
      <c r="C78" s="975"/>
      <c r="D78" s="1"/>
      <c r="E78" s="3064" t="s">
        <v>1431</v>
      </c>
      <c r="F78" s="3064"/>
      <c r="G78" s="85"/>
      <c r="H78" s="37" t="s">
        <v>1444</v>
      </c>
      <c r="I78" s="85"/>
      <c r="J78" s="632">
        <f>EH48</f>
        <v>0</v>
      </c>
      <c r="K78" s="632">
        <f>EI48</f>
        <v>0</v>
      </c>
      <c r="L78" s="632">
        <f>EJ48</f>
        <v>0</v>
      </c>
      <c r="M78" s="632">
        <f>EK48</f>
        <v>0</v>
      </c>
      <c r="N78" s="632">
        <f>EL48</f>
        <v>0</v>
      </c>
      <c r="O78" s="632">
        <f t="shared" si="264"/>
        <v>0</v>
      </c>
      <c r="R78" s="3012"/>
      <c r="S78" s="3013"/>
      <c r="T78" s="3013"/>
      <c r="U78" s="3013"/>
      <c r="V78" s="3014"/>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61"/>
      <c r="B79" s="3061"/>
      <c r="C79" s="975"/>
      <c r="D79" s="1"/>
      <c r="E79" s="3064"/>
      <c r="F79" s="3064"/>
      <c r="G79" s="85"/>
      <c r="H79" s="37" t="s">
        <v>305</v>
      </c>
      <c r="I79" s="85"/>
      <c r="J79" s="633">
        <f>EM48</f>
        <v>0</v>
      </c>
      <c r="K79" s="633">
        <f>EN48</f>
        <v>0</v>
      </c>
      <c r="L79" s="633">
        <f>EO48</f>
        <v>0</v>
      </c>
      <c r="M79" s="633">
        <f>EP48</f>
        <v>0</v>
      </c>
      <c r="N79" s="633">
        <f>EQ48</f>
        <v>0</v>
      </c>
      <c r="O79" s="633">
        <f t="shared" si="264"/>
        <v>0</v>
      </c>
      <c r="R79" s="3012"/>
      <c r="S79" s="3013"/>
      <c r="T79" s="3013"/>
      <c r="U79" s="3013"/>
      <c r="V79" s="3014"/>
      <c r="W79" s="490"/>
      <c r="Z79" s="490"/>
      <c r="AA79" s="53"/>
      <c r="AB79" s="604"/>
      <c r="AC79" s="604"/>
      <c r="AD79" s="604"/>
      <c r="AE79" s="604"/>
      <c r="AF79" s="604"/>
      <c r="AG79" s="604"/>
      <c r="AH79" s="430"/>
      <c r="AI79" s="97"/>
      <c r="IL79" s="477"/>
      <c r="JA79" s="464"/>
    </row>
    <row r="80" spans="1:261" ht="12" customHeight="1">
      <c r="A80" s="3061"/>
      <c r="B80" s="30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12"/>
      <c r="S80" s="3013"/>
      <c r="T80" s="3013"/>
      <c r="U80" s="3013"/>
      <c r="V80" s="3014"/>
      <c r="W80" s="10"/>
      <c r="Z80" s="490"/>
      <c r="AA80" s="37"/>
      <c r="AB80" s="604"/>
      <c r="AC80" s="604"/>
      <c r="AD80" s="604"/>
      <c r="AE80" s="604"/>
      <c r="AF80" s="604"/>
      <c r="AG80" s="604"/>
      <c r="AH80" s="53"/>
      <c r="AI80" s="97"/>
      <c r="IL80" s="477"/>
      <c r="JA80" s="464"/>
    </row>
    <row r="81" spans="1:261" ht="12" customHeight="1">
      <c r="A81" s="3061"/>
      <c r="B81" s="3061"/>
      <c r="C81" s="975"/>
      <c r="D81" s="1"/>
      <c r="E81" s="113" t="s">
        <v>367</v>
      </c>
      <c r="F81" s="1"/>
      <c r="G81" s="179"/>
      <c r="H81" s="85"/>
      <c r="I81" s="85"/>
      <c r="J81" s="2324">
        <v>0</v>
      </c>
      <c r="K81" s="2324">
        <v>0</v>
      </c>
      <c r="L81" s="2324">
        <v>0</v>
      </c>
      <c r="M81" s="2324">
        <v>0</v>
      </c>
      <c r="N81" s="2324">
        <v>0</v>
      </c>
      <c r="O81" s="632">
        <f t="shared" si="264"/>
        <v>0</v>
      </c>
      <c r="R81" s="3012"/>
      <c r="S81" s="3013"/>
      <c r="T81" s="3013"/>
      <c r="U81" s="3013"/>
      <c r="V81" s="3014"/>
      <c r="W81" s="490"/>
      <c r="Z81" s="490"/>
      <c r="AA81" s="53"/>
      <c r="AB81" s="604"/>
      <c r="AC81" s="604"/>
      <c r="AD81" s="604"/>
      <c r="AE81" s="604"/>
      <c r="AF81" s="604"/>
      <c r="AG81" s="604"/>
      <c r="AH81" s="430"/>
      <c r="AI81" s="97"/>
      <c r="IL81" s="477"/>
      <c r="JA81" s="464"/>
    </row>
    <row r="82" spans="1:261" ht="12" customHeight="1">
      <c r="A82" s="3054" t="str">
        <f>IF(AND('Part IV-A-Uses of Funds'!$T$165="Yes",'Part IX A-Scoring Criteria'!$O$414&gt;0,O82&lt;1),"SHOW HISTORIC UNITS HERE &gt;&gt;&gt;&gt;","")</f>
        <v/>
      </c>
      <c r="B82" s="3054"/>
      <c r="C82" s="3054"/>
      <c r="D82" s="3054"/>
      <c r="E82" s="512" t="s">
        <v>3419</v>
      </c>
      <c r="F82" s="1"/>
      <c r="G82" s="179"/>
      <c r="H82" s="85"/>
      <c r="I82" s="85"/>
      <c r="J82" s="2325">
        <v>0</v>
      </c>
      <c r="K82" s="2325">
        <v>0</v>
      </c>
      <c r="L82" s="2325">
        <v>0</v>
      </c>
      <c r="M82" s="2325">
        <v>0</v>
      </c>
      <c r="N82" s="2325">
        <v>0</v>
      </c>
      <c r="O82" s="633">
        <f t="shared" si="264"/>
        <v>0</v>
      </c>
      <c r="R82" s="3012"/>
      <c r="S82" s="3013"/>
      <c r="T82" s="3013"/>
      <c r="U82" s="3013"/>
      <c r="V82" s="3014"/>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12"/>
      <c r="S83" s="3013"/>
      <c r="T83" s="3013"/>
      <c r="U83" s="3013"/>
      <c r="V83" s="3014"/>
      <c r="W83" s="490"/>
      <c r="Z83" s="490"/>
      <c r="AA83" s="53"/>
      <c r="AB83" s="604"/>
      <c r="AC83" s="604"/>
      <c r="AD83" s="604"/>
      <c r="AE83" s="604"/>
      <c r="AF83" s="604"/>
      <c r="AG83" s="604"/>
      <c r="AH83" s="430"/>
      <c r="AI83" s="97"/>
      <c r="IL83" s="477"/>
      <c r="JA83" s="464"/>
    </row>
    <row r="84" spans="1:261" ht="12" customHeight="1">
      <c r="A84" s="1159"/>
      <c r="B84" s="1159"/>
      <c r="C84" s="1159"/>
      <c r="D84" s="1159"/>
      <c r="E84" s="113" t="s">
        <v>3380</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09"/>
      <c r="S84" s="3010"/>
      <c r="T84" s="3010"/>
      <c r="U84" s="3010"/>
      <c r="V84" s="3011"/>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50" t="s">
        <v>4135</v>
      </c>
      <c r="D86" s="3050"/>
      <c r="E86" s="1263" t="s">
        <v>40</v>
      </c>
      <c r="F86" s="1059"/>
      <c r="G86" s="1264"/>
      <c r="H86" s="1265"/>
      <c r="I86" s="1266"/>
      <c r="J86" s="645">
        <f t="shared" ref="J86:O86" si="265">SUM(J87:J94)</f>
        <v>0</v>
      </c>
      <c r="K86" s="645">
        <f t="shared" si="265"/>
        <v>10</v>
      </c>
      <c r="L86" s="645">
        <f t="shared" si="265"/>
        <v>56</v>
      </c>
      <c r="M86" s="645">
        <f t="shared" si="265"/>
        <v>18</v>
      </c>
      <c r="N86" s="645">
        <f t="shared" si="265"/>
        <v>0</v>
      </c>
      <c r="O86" s="645">
        <f t="shared" si="265"/>
        <v>84</v>
      </c>
      <c r="R86" s="3016"/>
      <c r="S86" s="3017"/>
      <c r="T86" s="3017"/>
      <c r="U86" s="3017"/>
      <c r="V86" s="30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51"/>
      <c r="D87" s="3051"/>
      <c r="E87" s="106"/>
      <c r="F87" s="5"/>
      <c r="G87" s="157"/>
      <c r="H87" s="956" t="s">
        <v>2622</v>
      </c>
      <c r="I87" s="1267"/>
      <c r="J87" s="1022">
        <f>GP48</f>
        <v>0</v>
      </c>
      <c r="K87" s="1022">
        <f>GQ48</f>
        <v>0</v>
      </c>
      <c r="L87" s="1022">
        <f>GR48</f>
        <v>0</v>
      </c>
      <c r="M87" s="1022">
        <f>GS48</f>
        <v>0</v>
      </c>
      <c r="N87" s="1022">
        <f>GT48</f>
        <v>0</v>
      </c>
      <c r="O87" s="1022">
        <f t="shared" ref="O87:O102" si="266">SUM(J87:N87)</f>
        <v>0</v>
      </c>
      <c r="R87" s="3012"/>
      <c r="S87" s="3013"/>
      <c r="T87" s="3013"/>
      <c r="U87" s="3013"/>
      <c r="V87" s="3014"/>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51"/>
      <c r="D88" s="3051"/>
      <c r="E88" s="106"/>
      <c r="F88" s="5"/>
      <c r="G88" s="157"/>
      <c r="H88" s="98" t="s">
        <v>3380</v>
      </c>
      <c r="I88" s="1267"/>
      <c r="J88" s="636">
        <f>GU48</f>
        <v>0</v>
      </c>
      <c r="K88" s="636">
        <f>GV48</f>
        <v>0</v>
      </c>
      <c r="L88" s="636">
        <f>GW48</f>
        <v>0</v>
      </c>
      <c r="M88" s="636">
        <f>GX48</f>
        <v>0</v>
      </c>
      <c r="N88" s="636">
        <f>GY48</f>
        <v>0</v>
      </c>
      <c r="O88" s="636">
        <f t="shared" si="266"/>
        <v>0</v>
      </c>
      <c r="R88" s="3012"/>
      <c r="S88" s="3013"/>
      <c r="T88" s="3013"/>
      <c r="U88" s="3013"/>
      <c r="V88" s="3014"/>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51"/>
      <c r="D89" s="3051"/>
      <c r="E89" s="106"/>
      <c r="F89" s="5"/>
      <c r="G89" s="157"/>
      <c r="H89" s="956" t="s">
        <v>2623</v>
      </c>
      <c r="I89" s="1267"/>
      <c r="J89" s="1022">
        <f>GZ48</f>
        <v>0</v>
      </c>
      <c r="K89" s="1022">
        <f>HA48</f>
        <v>0</v>
      </c>
      <c r="L89" s="1022">
        <f>HB48</f>
        <v>0</v>
      </c>
      <c r="M89" s="1022">
        <f>HC48</f>
        <v>0</v>
      </c>
      <c r="N89" s="1022">
        <f>HD48</f>
        <v>0</v>
      </c>
      <c r="O89" s="637">
        <f t="shared" si="266"/>
        <v>0</v>
      </c>
      <c r="R89" s="3012"/>
      <c r="S89" s="3013"/>
      <c r="T89" s="3013"/>
      <c r="U89" s="3013"/>
      <c r="V89" s="3014"/>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51"/>
      <c r="D90" s="3051"/>
      <c r="E90" s="106"/>
      <c r="F90" s="5"/>
      <c r="G90" s="157"/>
      <c r="H90" s="98" t="s">
        <v>3380</v>
      </c>
      <c r="I90" s="1267"/>
      <c r="J90" s="636">
        <f>HE48</f>
        <v>0</v>
      </c>
      <c r="K90" s="636">
        <f>HF48</f>
        <v>0</v>
      </c>
      <c r="L90" s="636">
        <f>HG48</f>
        <v>0</v>
      </c>
      <c r="M90" s="636">
        <f>HH48</f>
        <v>0</v>
      </c>
      <c r="N90" s="636">
        <f>HI48</f>
        <v>0</v>
      </c>
      <c r="O90" s="636">
        <f t="shared" si="266"/>
        <v>0</v>
      </c>
      <c r="R90" s="3012"/>
      <c r="S90" s="3013"/>
      <c r="T90" s="3013"/>
      <c r="U90" s="3013"/>
      <c r="V90" s="3014"/>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51"/>
      <c r="D91" s="3051"/>
      <c r="E91" s="106"/>
      <c r="F91" s="5"/>
      <c r="G91" s="157"/>
      <c r="H91" s="956" t="s">
        <v>2625</v>
      </c>
      <c r="I91" s="1267"/>
      <c r="J91" s="1022">
        <f>HJ48</f>
        <v>0</v>
      </c>
      <c r="K91" s="1022">
        <f>HK48</f>
        <v>0</v>
      </c>
      <c r="L91" s="1022">
        <f>HL48</f>
        <v>0</v>
      </c>
      <c r="M91" s="1022">
        <f>HM48</f>
        <v>0</v>
      </c>
      <c r="N91" s="1022">
        <f>HN48</f>
        <v>0</v>
      </c>
      <c r="O91" s="637">
        <f t="shared" si="266"/>
        <v>0</v>
      </c>
      <c r="R91" s="3012"/>
      <c r="S91" s="3013"/>
      <c r="T91" s="3013"/>
      <c r="U91" s="3013"/>
      <c r="V91" s="3014"/>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51"/>
      <c r="D92" s="3051"/>
      <c r="E92" s="106"/>
      <c r="F92" s="5"/>
      <c r="G92" s="157"/>
      <c r="H92" s="98" t="s">
        <v>3380</v>
      </c>
      <c r="I92" s="1267"/>
      <c r="J92" s="636">
        <f>HO48</f>
        <v>0</v>
      </c>
      <c r="K92" s="636">
        <f>HP48</f>
        <v>0</v>
      </c>
      <c r="L92" s="636">
        <f>HQ48</f>
        <v>0</v>
      </c>
      <c r="M92" s="636">
        <f>HR48</f>
        <v>0</v>
      </c>
      <c r="N92" s="636">
        <f>HS48</f>
        <v>0</v>
      </c>
      <c r="O92" s="636">
        <f t="shared" si="266"/>
        <v>0</v>
      </c>
      <c r="R92" s="3012"/>
      <c r="S92" s="3013"/>
      <c r="T92" s="3013"/>
      <c r="U92" s="3013"/>
      <c r="V92" s="3014"/>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51"/>
      <c r="D93" s="3051"/>
      <c r="E93" s="106"/>
      <c r="F93" s="1"/>
      <c r="G93" s="85"/>
      <c r="H93" s="41" t="s">
        <v>2624</v>
      </c>
      <c r="I93" s="85"/>
      <c r="J93" s="1022">
        <f>HT48</f>
        <v>0</v>
      </c>
      <c r="K93" s="1022">
        <f>HU48</f>
        <v>10</v>
      </c>
      <c r="L93" s="1022">
        <f>HV48</f>
        <v>56</v>
      </c>
      <c r="M93" s="1022">
        <f>HW48</f>
        <v>18</v>
      </c>
      <c r="N93" s="1022">
        <f>HX48</f>
        <v>0</v>
      </c>
      <c r="O93" s="637">
        <f t="shared" si="266"/>
        <v>84</v>
      </c>
      <c r="R93" s="3012"/>
      <c r="S93" s="3013"/>
      <c r="T93" s="3013"/>
      <c r="U93" s="3013"/>
      <c r="V93" s="3014"/>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51"/>
      <c r="D94" s="3051"/>
      <c r="E94" s="106"/>
      <c r="F94" s="1"/>
      <c r="G94" s="85"/>
      <c r="H94" s="949" t="s">
        <v>3380</v>
      </c>
      <c r="I94" s="85"/>
      <c r="J94" s="636">
        <f>HY48</f>
        <v>0</v>
      </c>
      <c r="K94" s="636">
        <f>HZ48</f>
        <v>0</v>
      </c>
      <c r="L94" s="636">
        <f>IA48</f>
        <v>0</v>
      </c>
      <c r="M94" s="636">
        <f>IB48</f>
        <v>0</v>
      </c>
      <c r="N94" s="636">
        <f>IC48</f>
        <v>0</v>
      </c>
      <c r="O94" s="636">
        <f t="shared" si="266"/>
        <v>0</v>
      </c>
      <c r="R94" s="3012"/>
      <c r="S94" s="3013"/>
      <c r="T94" s="3013"/>
      <c r="U94" s="3013"/>
      <c r="V94" s="3014"/>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12"/>
      <c r="S95" s="3013"/>
      <c r="T95" s="3013"/>
      <c r="U95" s="3013"/>
      <c r="V95" s="3014"/>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3380</v>
      </c>
      <c r="I96" s="85"/>
      <c r="J96" s="636">
        <f>FG48</f>
        <v>0</v>
      </c>
      <c r="K96" s="636">
        <f>FH48</f>
        <v>0</v>
      </c>
      <c r="L96" s="636">
        <f>FI48</f>
        <v>0</v>
      </c>
      <c r="M96" s="636">
        <f>FJ48</f>
        <v>0</v>
      </c>
      <c r="N96" s="636">
        <f>FK48</f>
        <v>0</v>
      </c>
      <c r="O96" s="636">
        <f t="shared" si="266"/>
        <v>0</v>
      </c>
      <c r="R96" s="3012"/>
      <c r="S96" s="3013"/>
      <c r="T96" s="3013"/>
      <c r="U96" s="3013"/>
      <c r="V96" s="3014"/>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12"/>
      <c r="S97" s="3013"/>
      <c r="T97" s="3013"/>
      <c r="U97" s="3013"/>
      <c r="V97" s="3014"/>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3380</v>
      </c>
      <c r="I98" s="85"/>
      <c r="J98" s="636">
        <f>GK48</f>
        <v>0</v>
      </c>
      <c r="K98" s="636">
        <f>GL48</f>
        <v>0</v>
      </c>
      <c r="L98" s="636">
        <f>GM48</f>
        <v>0</v>
      </c>
      <c r="M98" s="636">
        <f>GN48</f>
        <v>0</v>
      </c>
      <c r="N98" s="636">
        <f>GO48</f>
        <v>0</v>
      </c>
      <c r="O98" s="636">
        <f t="shared" si="266"/>
        <v>0</v>
      </c>
      <c r="R98" s="3012"/>
      <c r="S98" s="3013"/>
      <c r="T98" s="3013"/>
      <c r="U98" s="3013"/>
      <c r="V98" s="3014"/>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12"/>
      <c r="S99" s="3013"/>
      <c r="T99" s="3013"/>
      <c r="U99" s="3013"/>
      <c r="V99" s="3014"/>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3380</v>
      </c>
      <c r="I100" s="85"/>
      <c r="J100" s="1022">
        <f>GA48</f>
        <v>0</v>
      </c>
      <c r="K100" s="1022">
        <f>GB48</f>
        <v>0</v>
      </c>
      <c r="L100" s="1022">
        <f>GC48</f>
        <v>0</v>
      </c>
      <c r="M100" s="1022">
        <f>GD48</f>
        <v>0</v>
      </c>
      <c r="N100" s="1022">
        <f>GE48</f>
        <v>0</v>
      </c>
      <c r="O100" s="636">
        <f t="shared" si="266"/>
        <v>0</v>
      </c>
      <c r="R100" s="3012"/>
      <c r="S100" s="3013"/>
      <c r="T100" s="3013"/>
      <c r="U100" s="3013"/>
      <c r="V100" s="3014"/>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12"/>
      <c r="S101" s="3013"/>
      <c r="T101" s="3013"/>
      <c r="U101" s="3013"/>
      <c r="V101" s="3014"/>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3380</v>
      </c>
      <c r="I102" s="85"/>
      <c r="J102" s="1023">
        <f>FQ48</f>
        <v>0</v>
      </c>
      <c r="K102" s="1023">
        <f>FR48</f>
        <v>0</v>
      </c>
      <c r="L102" s="1023">
        <f>FS48</f>
        <v>0</v>
      </c>
      <c r="M102" s="1023">
        <f>FT48</f>
        <v>0</v>
      </c>
      <c r="N102" s="1023">
        <f>FU48</f>
        <v>0</v>
      </c>
      <c r="O102" s="1023">
        <f t="shared" si="266"/>
        <v>0</v>
      </c>
      <c r="R102" s="3009"/>
      <c r="S102" s="3010"/>
      <c r="T102" s="3010"/>
      <c r="U102" s="3010"/>
      <c r="V102" s="3011"/>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50" t="s">
        <v>4134</v>
      </c>
      <c r="D104" s="3050"/>
      <c r="E104" s="1263" t="s">
        <v>3375</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16"/>
      <c r="S104" s="3017"/>
      <c r="T104" s="3017"/>
      <c r="U104" s="3017"/>
      <c r="V104" s="30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51"/>
      <c r="D105" s="3051"/>
      <c r="E105" s="106"/>
      <c r="F105" s="517"/>
      <c r="G105" s="157"/>
      <c r="H105" s="98" t="s">
        <v>3380</v>
      </c>
      <c r="I105" s="1267"/>
      <c r="J105" s="639">
        <f t="shared" si="267"/>
        <v>0</v>
      </c>
      <c r="K105" s="639">
        <f t="shared" si="267"/>
        <v>0</v>
      </c>
      <c r="L105" s="639">
        <f t="shared" si="267"/>
        <v>0</v>
      </c>
      <c r="M105" s="639">
        <f t="shared" si="267"/>
        <v>0</v>
      </c>
      <c r="N105" s="639">
        <f t="shared" si="267"/>
        <v>0</v>
      </c>
      <c r="O105" s="639">
        <f t="shared" si="268"/>
        <v>0</v>
      </c>
      <c r="R105" s="3012"/>
      <c r="S105" s="3013"/>
      <c r="T105" s="3013"/>
      <c r="U105" s="3013"/>
      <c r="V105" s="3014"/>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51"/>
      <c r="D106" s="3051"/>
      <c r="E106" s="106" t="s">
        <v>3376</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12"/>
      <c r="S106" s="3013"/>
      <c r="T106" s="3013"/>
      <c r="U106" s="3013"/>
      <c r="V106" s="3014"/>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51"/>
      <c r="D107" s="3051"/>
      <c r="E107" s="106"/>
      <c r="F107" s="517"/>
      <c r="G107" s="157"/>
      <c r="H107" s="98" t="s">
        <v>3380</v>
      </c>
      <c r="I107" s="1267"/>
      <c r="J107" s="639">
        <f>J88+J98</f>
        <v>0</v>
      </c>
      <c r="K107" s="639">
        <f t="shared" si="269"/>
        <v>0</v>
      </c>
      <c r="L107" s="639">
        <f t="shared" si="269"/>
        <v>0</v>
      </c>
      <c r="M107" s="639">
        <f t="shared" si="269"/>
        <v>0</v>
      </c>
      <c r="N107" s="639">
        <f t="shared" si="269"/>
        <v>0</v>
      </c>
      <c r="O107" s="639">
        <f t="shared" si="268"/>
        <v>0</v>
      </c>
      <c r="R107" s="3012"/>
      <c r="S107" s="3013"/>
      <c r="T107" s="3013"/>
      <c r="U107" s="3013"/>
      <c r="V107" s="3014"/>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51"/>
      <c r="D108" s="3051"/>
      <c r="E108" s="106" t="s">
        <v>3377</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12"/>
      <c r="S108" s="3013"/>
      <c r="T108" s="3013"/>
      <c r="U108" s="3013"/>
      <c r="V108" s="3014"/>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51"/>
      <c r="D109" s="3051"/>
      <c r="E109" s="106"/>
      <c r="F109" s="517"/>
      <c r="G109" s="157"/>
      <c r="H109" s="98" t="s">
        <v>3380</v>
      </c>
      <c r="I109" s="1267"/>
      <c r="J109" s="639">
        <f>J92</f>
        <v>0</v>
      </c>
      <c r="K109" s="639">
        <f t="shared" si="270"/>
        <v>0</v>
      </c>
      <c r="L109" s="639">
        <f t="shared" si="270"/>
        <v>0</v>
      </c>
      <c r="M109" s="639">
        <f t="shared" si="270"/>
        <v>0</v>
      </c>
      <c r="N109" s="639">
        <f t="shared" si="270"/>
        <v>0</v>
      </c>
      <c r="O109" s="639">
        <f t="shared" si="268"/>
        <v>0</v>
      </c>
      <c r="R109" s="3012"/>
      <c r="S109" s="3013"/>
      <c r="T109" s="3013"/>
      <c r="U109" s="3013"/>
      <c r="V109" s="3014"/>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51"/>
      <c r="D110" s="3051"/>
      <c r="E110" s="106" t="s">
        <v>3378</v>
      </c>
      <c r="F110" s="517"/>
      <c r="G110" s="157"/>
      <c r="H110" s="956"/>
      <c r="I110" s="1267"/>
      <c r="J110" s="1025">
        <f>J89+J93</f>
        <v>0</v>
      </c>
      <c r="K110" s="1025">
        <f t="shared" ref="K110:N111" si="271">K89+K93</f>
        <v>10</v>
      </c>
      <c r="L110" s="1025">
        <f t="shared" si="271"/>
        <v>56</v>
      </c>
      <c r="M110" s="1025">
        <f t="shared" si="271"/>
        <v>18</v>
      </c>
      <c r="N110" s="1025">
        <f t="shared" si="271"/>
        <v>0</v>
      </c>
      <c r="O110" s="1025">
        <f t="shared" si="268"/>
        <v>84</v>
      </c>
      <c r="R110" s="3012"/>
      <c r="S110" s="3013"/>
      <c r="T110" s="3013"/>
      <c r="U110" s="3013"/>
      <c r="V110" s="3014"/>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3380</v>
      </c>
      <c r="I111" s="85"/>
      <c r="J111" s="1026">
        <f>J90+J94</f>
        <v>0</v>
      </c>
      <c r="K111" s="1026">
        <f t="shared" si="271"/>
        <v>0</v>
      </c>
      <c r="L111" s="1026">
        <f t="shared" si="271"/>
        <v>0</v>
      </c>
      <c r="M111" s="1026">
        <f t="shared" si="271"/>
        <v>0</v>
      </c>
      <c r="N111" s="1026">
        <f t="shared" si="271"/>
        <v>0</v>
      </c>
      <c r="O111" s="1026">
        <f t="shared" si="268"/>
        <v>0</v>
      </c>
      <c r="R111" s="3009"/>
      <c r="S111" s="3010"/>
      <c r="T111" s="3010"/>
      <c r="U111" s="3010"/>
      <c r="V111" s="3011"/>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3019" t="str">
        <f>B112</f>
        <v>Unit Square Footage:</v>
      </c>
      <c r="S112" s="3019"/>
      <c r="T112" s="3019"/>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3344</v>
      </c>
      <c r="L113" s="1027">
        <f>CB48</f>
        <v>39276</v>
      </c>
      <c r="M113" s="1027">
        <f>CC48</f>
        <v>12710</v>
      </c>
      <c r="N113" s="1027">
        <f>CD48</f>
        <v>0</v>
      </c>
      <c r="O113" s="1027">
        <f t="shared" ref="O113:O119" si="272">SUM(J113:N113)</f>
        <v>55330</v>
      </c>
      <c r="R113" s="3016"/>
      <c r="S113" s="3017"/>
      <c r="T113" s="3017"/>
      <c r="U113" s="3017"/>
      <c r="V113" s="30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3344</v>
      </c>
      <c r="L114" s="1028">
        <f>CG48</f>
        <v>9819</v>
      </c>
      <c r="M114" s="1028">
        <f>CH48</f>
        <v>5084</v>
      </c>
      <c r="N114" s="1028">
        <f>CI48</f>
        <v>0</v>
      </c>
      <c r="O114" s="1028">
        <f t="shared" si="272"/>
        <v>18247</v>
      </c>
      <c r="R114" s="3012"/>
      <c r="S114" s="3013"/>
      <c r="T114" s="3013"/>
      <c r="U114" s="3013"/>
      <c r="V114" s="3014"/>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6688</v>
      </c>
      <c r="L115" s="641">
        <f>SUM(L113:L114)</f>
        <v>49095</v>
      </c>
      <c r="M115" s="641">
        <f>SUM(M113:M114)</f>
        <v>17794</v>
      </c>
      <c r="N115" s="641">
        <f>SUM(N113:N114)</f>
        <v>0</v>
      </c>
      <c r="O115" s="641">
        <f t="shared" si="272"/>
        <v>73577</v>
      </c>
      <c r="R115" s="3012"/>
      <c r="S115" s="3013"/>
      <c r="T115" s="3013"/>
      <c r="U115" s="3013"/>
      <c r="V115" s="3014"/>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1672</v>
      </c>
      <c r="L116" s="642">
        <f>CQ48</f>
        <v>12001</v>
      </c>
      <c r="M116" s="642">
        <f>CR48</f>
        <v>5084</v>
      </c>
      <c r="N116" s="642">
        <f>CS48</f>
        <v>0</v>
      </c>
      <c r="O116" s="642">
        <f t="shared" si="272"/>
        <v>18757</v>
      </c>
      <c r="R116" s="3012"/>
      <c r="S116" s="3013"/>
      <c r="T116" s="3013"/>
      <c r="U116" s="3013"/>
      <c r="V116" s="3014"/>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8360</v>
      </c>
      <c r="L117" s="641">
        <f>SUM(L115:L116)</f>
        <v>61096</v>
      </c>
      <c r="M117" s="641">
        <f>SUM(M115:M116)</f>
        <v>22878</v>
      </c>
      <c r="N117" s="641">
        <f>SUM(N115:N116)</f>
        <v>0</v>
      </c>
      <c r="O117" s="641">
        <f t="shared" si="272"/>
        <v>92334</v>
      </c>
      <c r="R117" s="3012"/>
      <c r="S117" s="3013"/>
      <c r="T117" s="3013"/>
      <c r="U117" s="3013"/>
      <c r="V117" s="3014"/>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012"/>
      <c r="S118" s="3013"/>
      <c r="T118" s="3013"/>
      <c r="U118" s="3013"/>
      <c r="V118" s="3014"/>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8360</v>
      </c>
      <c r="L119" s="643">
        <f>SUM(L117:L118)</f>
        <v>61096</v>
      </c>
      <c r="M119" s="643">
        <f>SUM(M117:M118)</f>
        <v>22878</v>
      </c>
      <c r="N119" s="643">
        <f>SUM(N117:N118)</f>
        <v>0</v>
      </c>
      <c r="O119" s="643">
        <f t="shared" si="272"/>
        <v>92334</v>
      </c>
      <c r="R119" s="3009"/>
      <c r="S119" s="3010"/>
      <c r="T119" s="3010"/>
      <c r="U119" s="3010"/>
      <c r="V119" s="3011"/>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52">
        <v>12000</v>
      </c>
      <c r="I122" s="3053"/>
      <c r="J122" s="92"/>
      <c r="K122" s="508" t="s">
        <v>2762</v>
      </c>
      <c r="L122" s="92"/>
      <c r="M122" s="92"/>
      <c r="N122" s="92"/>
      <c r="O122" s="981">
        <f>H122/L49</f>
        <v>1.8699278207861176E-2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6"/>
      <c r="H126" s="2326"/>
      <c r="I126" s="2326"/>
      <c r="J126" s="2326"/>
      <c r="K126" s="2327"/>
      <c r="L126" s="2326"/>
      <c r="M126" s="2326"/>
      <c r="N126" s="2326"/>
      <c r="O126" s="2326"/>
      <c r="P126" s="2326"/>
      <c r="Q126" s="926"/>
      <c r="R126" s="3016"/>
      <c r="S126" s="3017"/>
      <c r="T126" s="3017"/>
      <c r="U126" s="3017"/>
      <c r="V126" s="3018"/>
    </row>
    <row r="127" spans="1:263" ht="11.25" customHeight="1">
      <c r="B127" s="113" t="s">
        <v>749</v>
      </c>
      <c r="C127" s="3047"/>
      <c r="D127" s="3048"/>
      <c r="E127" s="3048"/>
      <c r="F127" s="3049"/>
      <c r="G127" s="2328"/>
      <c r="H127" s="2328"/>
      <c r="I127" s="2328"/>
      <c r="J127" s="2328"/>
      <c r="K127" s="2329"/>
      <c r="L127" s="2328"/>
      <c r="M127" s="2328"/>
      <c r="N127" s="2328"/>
      <c r="O127" s="2328"/>
      <c r="P127" s="2328"/>
      <c r="Q127" s="926"/>
      <c r="R127" s="3012"/>
      <c r="S127" s="3013"/>
      <c r="T127" s="3013"/>
      <c r="U127" s="3013"/>
      <c r="V127" s="3014"/>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09"/>
      <c r="S128" s="3010"/>
      <c r="T128" s="3010"/>
      <c r="U128" s="3010"/>
      <c r="V128" s="3011"/>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6"/>
      <c r="H130" s="2326"/>
      <c r="I130" s="2326"/>
      <c r="J130" s="2326"/>
      <c r="K130" s="2327"/>
      <c r="L130" s="2326"/>
      <c r="M130" s="2326"/>
      <c r="N130" s="2326"/>
      <c r="O130" s="2326"/>
      <c r="P130" s="2326"/>
      <c r="Q130" s="926"/>
      <c r="R130" s="3016"/>
      <c r="S130" s="3017"/>
      <c r="T130" s="3017"/>
      <c r="U130" s="3017"/>
      <c r="V130" s="3018"/>
    </row>
    <row r="131" spans="2:22" ht="11.25" customHeight="1">
      <c r="B131" s="113" t="s">
        <v>749</v>
      </c>
      <c r="C131" s="3047"/>
      <c r="D131" s="3048"/>
      <c r="E131" s="3048"/>
      <c r="F131" s="3049"/>
      <c r="G131" s="2328"/>
      <c r="H131" s="2328"/>
      <c r="I131" s="2328"/>
      <c r="J131" s="2328"/>
      <c r="K131" s="2329"/>
      <c r="L131" s="2328"/>
      <c r="M131" s="2328"/>
      <c r="N131" s="2328"/>
      <c r="O131" s="2328"/>
      <c r="P131" s="2328"/>
      <c r="Q131" s="926"/>
      <c r="R131" s="3012"/>
      <c r="S131" s="3013"/>
      <c r="T131" s="3013"/>
      <c r="U131" s="3013"/>
      <c r="V131" s="3014"/>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09"/>
      <c r="S132" s="3010"/>
      <c r="T132" s="3010"/>
      <c r="U132" s="3010"/>
      <c r="V132" s="3011"/>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2326"/>
      <c r="H135" s="2326"/>
      <c r="I135" s="2326"/>
      <c r="J135" s="2326"/>
      <c r="K135" s="2327"/>
      <c r="L135" s="2326"/>
      <c r="M135" s="2326"/>
      <c r="N135" s="2326"/>
      <c r="O135" s="2326"/>
      <c r="P135" s="2326"/>
      <c r="Q135" s="926"/>
      <c r="R135" s="3016"/>
      <c r="S135" s="3017"/>
      <c r="T135" s="3017"/>
      <c r="U135" s="3017"/>
      <c r="V135" s="3018"/>
    </row>
    <row r="136" spans="2:22" ht="11.25" customHeight="1">
      <c r="B136" s="113" t="s">
        <v>749</v>
      </c>
      <c r="C136" s="3047"/>
      <c r="D136" s="3048"/>
      <c r="E136" s="3048"/>
      <c r="F136" s="3049"/>
      <c r="G136" s="2328"/>
      <c r="H136" s="2328"/>
      <c r="I136" s="2328"/>
      <c r="J136" s="2328"/>
      <c r="K136" s="2329"/>
      <c r="L136" s="2328"/>
      <c r="M136" s="2328"/>
      <c r="N136" s="2328"/>
      <c r="O136" s="2328"/>
      <c r="P136" s="2328"/>
      <c r="Q136" s="926"/>
      <c r="R136" s="3012"/>
      <c r="S136" s="3013"/>
      <c r="T136" s="3013"/>
      <c r="U136" s="3013"/>
      <c r="V136" s="3014"/>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09"/>
      <c r="S137" s="3010"/>
      <c r="T137" s="3010"/>
      <c r="U137" s="3010"/>
      <c r="V137" s="3011"/>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6"/>
      <c r="H139" s="2326"/>
      <c r="I139" s="2326"/>
      <c r="J139" s="2326"/>
      <c r="K139" s="2327"/>
      <c r="L139" s="2326"/>
      <c r="M139" s="2326"/>
      <c r="N139" s="2326"/>
      <c r="O139" s="2326"/>
      <c r="P139" s="2326"/>
      <c r="Q139" s="926"/>
      <c r="R139" s="3016"/>
      <c r="S139" s="3017"/>
      <c r="T139" s="3017"/>
      <c r="U139" s="3017"/>
      <c r="V139" s="3018"/>
    </row>
    <row r="140" spans="2:22" ht="11.25" customHeight="1">
      <c r="B140" s="113" t="s">
        <v>749</v>
      </c>
      <c r="C140" s="3047"/>
      <c r="D140" s="3048"/>
      <c r="E140" s="3048"/>
      <c r="F140" s="3049"/>
      <c r="G140" s="2328"/>
      <c r="H140" s="2328"/>
      <c r="I140" s="2328"/>
      <c r="J140" s="2328"/>
      <c r="K140" s="2329"/>
      <c r="L140" s="2328"/>
      <c r="M140" s="2328"/>
      <c r="N140" s="2328"/>
      <c r="O140" s="2328"/>
      <c r="P140" s="2328"/>
      <c r="Q140" s="926"/>
      <c r="R140" s="3012"/>
      <c r="S140" s="3013"/>
      <c r="T140" s="3013"/>
      <c r="U140" s="3013"/>
      <c r="V140" s="3014"/>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09"/>
      <c r="S141" s="3010"/>
      <c r="T141" s="3010"/>
      <c r="U141" s="3010"/>
      <c r="V141" s="3011"/>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2326"/>
      <c r="H144" s="2326"/>
      <c r="I144" s="2326"/>
      <c r="J144" s="2326"/>
      <c r="K144" s="2327"/>
      <c r="L144" s="2326"/>
      <c r="M144" s="2326"/>
      <c r="N144" s="2326"/>
      <c r="O144" s="2326"/>
      <c r="P144" s="2326"/>
      <c r="Q144" s="926"/>
      <c r="R144" s="3016"/>
      <c r="S144" s="3017"/>
      <c r="T144" s="3017"/>
      <c r="U144" s="3017"/>
      <c r="V144" s="3018"/>
    </row>
    <row r="145" spans="2:22" ht="11.25" customHeight="1">
      <c r="B145" s="113" t="s">
        <v>749</v>
      </c>
      <c r="C145" s="3047"/>
      <c r="D145" s="3048"/>
      <c r="E145" s="3048"/>
      <c r="F145" s="3049"/>
      <c r="G145" s="2328"/>
      <c r="H145" s="2328"/>
      <c r="I145" s="2328"/>
      <c r="J145" s="2328"/>
      <c r="K145" s="2329"/>
      <c r="L145" s="2328"/>
      <c r="M145" s="2328"/>
      <c r="N145" s="2328"/>
      <c r="O145" s="2328"/>
      <c r="P145" s="2328"/>
      <c r="Q145" s="926"/>
      <c r="R145" s="3012"/>
      <c r="S145" s="3013"/>
      <c r="T145" s="3013"/>
      <c r="U145" s="3013"/>
      <c r="V145" s="3014"/>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09"/>
      <c r="S146" s="3010"/>
      <c r="T146" s="3010"/>
      <c r="U146" s="3010"/>
      <c r="V146" s="3011"/>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6"/>
      <c r="H148" s="2326"/>
      <c r="I148" s="2326"/>
      <c r="J148" s="2326"/>
      <c r="K148" s="2327"/>
      <c r="L148" s="2326"/>
      <c r="M148" s="2326"/>
      <c r="N148" s="2326"/>
      <c r="O148" s="2326"/>
      <c r="P148" s="2326"/>
      <c r="Q148" s="926"/>
      <c r="R148" s="3016"/>
      <c r="S148" s="3017"/>
      <c r="T148" s="3017"/>
      <c r="U148" s="3017"/>
      <c r="V148" s="3018"/>
    </row>
    <row r="149" spans="2:22" ht="11.25" customHeight="1">
      <c r="B149" s="113" t="s">
        <v>749</v>
      </c>
      <c r="C149" s="3047"/>
      <c r="D149" s="3048"/>
      <c r="E149" s="3048"/>
      <c r="F149" s="3049"/>
      <c r="G149" s="2328"/>
      <c r="H149" s="2328"/>
      <c r="I149" s="2328"/>
      <c r="J149" s="2328"/>
      <c r="K149" s="2329"/>
      <c r="L149" s="2328"/>
      <c r="M149" s="2328"/>
      <c r="N149" s="2328"/>
      <c r="O149" s="2328"/>
      <c r="P149" s="2328"/>
      <c r="Q149" s="926"/>
      <c r="R149" s="3012"/>
      <c r="S149" s="3013"/>
      <c r="T149" s="3013"/>
      <c r="U149" s="3013"/>
      <c r="V149" s="3014"/>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09"/>
      <c r="S150" s="3010"/>
      <c r="T150" s="3010"/>
      <c r="U150" s="3010"/>
      <c r="V150" s="3011"/>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2326"/>
      <c r="H153" s="2326"/>
      <c r="I153" s="2326"/>
      <c r="J153" s="2326"/>
      <c r="K153" s="2327"/>
      <c r="L153" s="92"/>
      <c r="M153" s="92"/>
      <c r="N153" s="92"/>
      <c r="O153" s="92"/>
      <c r="P153" s="92"/>
      <c r="Q153" s="8"/>
      <c r="R153" s="3016"/>
      <c r="S153" s="3017"/>
      <c r="T153" s="3017"/>
      <c r="U153" s="3017"/>
      <c r="V153" s="3018"/>
    </row>
    <row r="154" spans="2:22" ht="11.25" customHeight="1">
      <c r="B154" s="113" t="s">
        <v>749</v>
      </c>
      <c r="C154" s="3047"/>
      <c r="D154" s="3048"/>
      <c r="E154" s="3048"/>
      <c r="F154" s="3049"/>
      <c r="G154" s="2328"/>
      <c r="H154" s="2328"/>
      <c r="I154" s="2328"/>
      <c r="J154" s="2328"/>
      <c r="K154" s="2329"/>
      <c r="L154" s="92"/>
      <c r="M154" s="92"/>
      <c r="N154" s="92"/>
      <c r="O154" s="92"/>
      <c r="P154" s="92"/>
      <c r="Q154" s="8"/>
      <c r="R154" s="3012"/>
      <c r="S154" s="3013"/>
      <c r="T154" s="3013"/>
      <c r="U154" s="3013"/>
      <c r="V154" s="3014"/>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09"/>
      <c r="S155" s="3010"/>
      <c r="T155" s="3010"/>
      <c r="U155" s="3010"/>
      <c r="V155" s="3011"/>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6"/>
      <c r="H157" s="2326"/>
      <c r="I157" s="2326"/>
      <c r="J157" s="2326"/>
      <c r="K157" s="2327"/>
      <c r="L157" s="92"/>
      <c r="M157" s="92"/>
      <c r="N157" s="92"/>
      <c r="O157" s="92"/>
      <c r="P157" s="92"/>
      <c r="Q157" s="8"/>
      <c r="R157" s="3016"/>
      <c r="S157" s="3017"/>
      <c r="T157" s="3017"/>
      <c r="U157" s="3017"/>
      <c r="V157" s="3018"/>
    </row>
    <row r="158" spans="2:22" ht="11.25" customHeight="1">
      <c r="B158" s="113" t="s">
        <v>749</v>
      </c>
      <c r="C158" s="3047"/>
      <c r="D158" s="3048"/>
      <c r="E158" s="3048"/>
      <c r="F158" s="3049"/>
      <c r="G158" s="2328"/>
      <c r="H158" s="2328"/>
      <c r="I158" s="2328"/>
      <c r="J158" s="2328"/>
      <c r="K158" s="2329"/>
      <c r="L158" s="92"/>
      <c r="M158" s="92"/>
      <c r="N158" s="92"/>
      <c r="O158" s="92"/>
      <c r="P158" s="92"/>
      <c r="Q158" s="8"/>
      <c r="R158" s="3012"/>
      <c r="S158" s="3013"/>
      <c r="T158" s="3013"/>
      <c r="U158" s="3013"/>
      <c r="V158" s="3014"/>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09"/>
      <c r="S159" s="3010"/>
      <c r="T159" s="3010"/>
      <c r="U159" s="3010"/>
      <c r="V159" s="3011"/>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16"/>
      <c r="S163" s="3017"/>
      <c r="T163" s="3017"/>
      <c r="U163" s="3017"/>
      <c r="V163" s="30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021">
        <v>48000</v>
      </c>
      <c r="G164" s="3022"/>
      <c r="H164" s="1"/>
      <c r="I164" s="1" t="s">
        <v>1390</v>
      </c>
      <c r="J164" s="1"/>
      <c r="K164" s="3021"/>
      <c r="L164" s="3022"/>
      <c r="M164" s="1"/>
      <c r="N164" s="1" t="s">
        <v>938</v>
      </c>
      <c r="O164" s="1"/>
      <c r="P164" s="2330">
        <v>39961</v>
      </c>
      <c r="Q164" s="926"/>
      <c r="R164" s="3012"/>
      <c r="S164" s="3013"/>
      <c r="T164" s="3013"/>
      <c r="U164" s="3013"/>
      <c r="V164" s="3014"/>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21">
        <v>37000</v>
      </c>
      <c r="G165" s="3022"/>
      <c r="H165" s="1"/>
      <c r="I165" s="1" t="s">
        <v>1391</v>
      </c>
      <c r="J165" s="1"/>
      <c r="K165" s="3021"/>
      <c r="L165" s="3022"/>
      <c r="M165" s="1"/>
      <c r="N165" s="1" t="s">
        <v>148</v>
      </c>
      <c r="O165" s="1"/>
      <c r="P165" s="2330">
        <v>18900</v>
      </c>
      <c r="Q165" s="926"/>
      <c r="R165" s="3012"/>
      <c r="S165" s="3013"/>
      <c r="T165" s="3013"/>
      <c r="U165" s="3013"/>
      <c r="V165" s="3014"/>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21"/>
      <c r="G166" s="3022"/>
      <c r="H166" s="1"/>
      <c r="I166" s="1"/>
      <c r="J166" s="126" t="s">
        <v>193</v>
      </c>
      <c r="K166" s="3036">
        <f>SUM(K164:L165)</f>
        <v>0</v>
      </c>
      <c r="L166" s="3037"/>
      <c r="M166" s="1"/>
      <c r="N166" s="3042" t="s">
        <v>52</v>
      </c>
      <c r="O166" s="3043"/>
      <c r="P166" s="2331"/>
      <c r="Q166" s="926"/>
      <c r="R166" s="3012"/>
      <c r="S166" s="3013"/>
      <c r="T166" s="3013"/>
      <c r="U166" s="3013"/>
      <c r="V166" s="3014"/>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25" t="s">
        <v>4718</v>
      </c>
      <c r="C167" s="3026"/>
      <c r="D167" s="3026"/>
      <c r="E167" s="3027"/>
      <c r="F167" s="3028">
        <v>12480</v>
      </c>
      <c r="G167" s="3029"/>
      <c r="H167" s="1"/>
      <c r="I167" s="1"/>
      <c r="J167" s="1"/>
      <c r="K167" s="1"/>
      <c r="L167" s="1"/>
      <c r="M167" s="1"/>
      <c r="N167" s="12" t="s">
        <v>193</v>
      </c>
      <c r="O167" s="1"/>
      <c r="P167" s="419">
        <f>SUM(P164:P166)</f>
        <v>58861</v>
      </c>
      <c r="Q167" s="926"/>
      <c r="R167" s="3012"/>
      <c r="S167" s="3013"/>
      <c r="T167" s="3013"/>
      <c r="U167" s="3013"/>
      <c r="V167" s="3014"/>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36">
        <f>SUM(F164:G167)</f>
        <v>97480</v>
      </c>
      <c r="G168" s="3037"/>
      <c r="H168" s="1"/>
      <c r="I168" s="1"/>
      <c r="J168" s="13"/>
      <c r="K168" s="1"/>
      <c r="L168" s="1"/>
      <c r="M168" s="1"/>
      <c r="N168" s="1"/>
      <c r="O168" s="1"/>
      <c r="P168" s="1"/>
      <c r="Q168" s="1"/>
      <c r="R168" s="3012"/>
      <c r="S168" s="3013"/>
      <c r="T168" s="3013"/>
      <c r="U168" s="3013"/>
      <c r="V168" s="3014"/>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12"/>
      <c r="S169" s="3013"/>
      <c r="T169" s="3013"/>
      <c r="U169" s="3013"/>
      <c r="V169" s="3014"/>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48638</v>
      </c>
      <c r="Q170" s="927"/>
      <c r="R170" s="3012"/>
      <c r="S170" s="3013"/>
      <c r="T170" s="3013"/>
      <c r="U170" s="3013"/>
      <c r="V170" s="3014"/>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21">
        <v>2500</v>
      </c>
      <c r="G171" s="3022"/>
      <c r="H171" s="1"/>
      <c r="I171" s="1" t="s">
        <v>1614</v>
      </c>
      <c r="J171" s="1"/>
      <c r="K171" s="3044">
        <v>8500</v>
      </c>
      <c r="L171" s="3045"/>
      <c r="M171" s="1"/>
      <c r="N171" s="408">
        <f>+P170/(O62*0.93)</f>
        <v>622.60624679979514</v>
      </c>
      <c r="O171" s="69" t="s">
        <v>2776</v>
      </c>
      <c r="P171" s="1"/>
      <c r="Q171" s="1"/>
      <c r="R171" s="3012"/>
      <c r="S171" s="3013"/>
      <c r="T171" s="3013"/>
      <c r="U171" s="3013"/>
      <c r="V171" s="3014"/>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21">
        <v>1750</v>
      </c>
      <c r="G172" s="3022"/>
      <c r="H172" s="1"/>
      <c r="I172" s="1" t="s">
        <v>2066</v>
      </c>
      <c r="J172" s="1"/>
      <c r="K172" s="3040">
        <v>7500</v>
      </c>
      <c r="L172" s="3041"/>
      <c r="M172" s="1"/>
      <c r="N172" s="408">
        <f>+P170/(O62*0.93)/12</f>
        <v>51.883853899982931</v>
      </c>
      <c r="O172" s="69" t="s">
        <v>2777</v>
      </c>
      <c r="P172" s="1"/>
      <c r="Q172" s="1"/>
      <c r="R172" s="3012"/>
      <c r="S172" s="3013"/>
      <c r="T172" s="3013"/>
      <c r="U172" s="3013"/>
      <c r="V172" s="3014"/>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21">
        <v>1500</v>
      </c>
      <c r="G173" s="3022"/>
      <c r="H173" s="1"/>
      <c r="I173" s="1" t="s">
        <v>1615</v>
      </c>
      <c r="J173" s="1"/>
      <c r="K173" s="3040">
        <v>5000</v>
      </c>
      <c r="L173" s="3041"/>
      <c r="M173" s="1"/>
      <c r="N173" s="37" t="s">
        <v>3758</v>
      </c>
      <c r="O173" s="1041"/>
      <c r="P173" s="1041"/>
      <c r="Q173" s="1603"/>
      <c r="R173" s="3012"/>
      <c r="S173" s="3013"/>
      <c r="T173" s="3013"/>
      <c r="U173" s="3013"/>
      <c r="V173" s="3014"/>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021"/>
      <c r="G174" s="3022"/>
      <c r="H174" s="1"/>
      <c r="I174" s="3042" t="s">
        <v>52</v>
      </c>
      <c r="J174" s="3043"/>
      <c r="K174" s="3044"/>
      <c r="L174" s="3045"/>
      <c r="M174" s="1"/>
      <c r="N174" s="1041"/>
      <c r="O174" s="1041"/>
      <c r="P174" s="1041"/>
      <c r="Q174" s="1603"/>
      <c r="R174" s="3012"/>
      <c r="S174" s="3013"/>
      <c r="T174" s="3013"/>
      <c r="U174" s="3013"/>
      <c r="V174" s="3014"/>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21">
        <v>3020</v>
      </c>
      <c r="G175" s="3022"/>
      <c r="H175" s="1"/>
      <c r="I175" s="10"/>
      <c r="J175" s="12" t="s">
        <v>193</v>
      </c>
      <c r="K175" s="3023">
        <f>SUM(K171:K174)</f>
        <v>21000</v>
      </c>
      <c r="L175" s="3024"/>
      <c r="M175" s="3046" t="str">
        <f>IF(P177="","",IF(P175&lt;P177, "WARNING! OE below required minimum.",""))</f>
        <v/>
      </c>
      <c r="N175" s="10" t="s">
        <v>2203</v>
      </c>
      <c r="O175" s="5"/>
      <c r="P175" s="417">
        <f>F168+F177+F188+K166+K175+K185+P167+P170</f>
        <v>352824</v>
      </c>
      <c r="R175" s="3012"/>
      <c r="S175" s="3013"/>
      <c r="T175" s="3013"/>
      <c r="U175" s="3013"/>
      <c r="V175" s="3014"/>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25" t="s">
        <v>52</v>
      </c>
      <c r="C176" s="3026"/>
      <c r="D176" s="3026"/>
      <c r="E176" s="3027"/>
      <c r="F176" s="3028"/>
      <c r="G176" s="3029"/>
      <c r="H176" s="1"/>
      <c r="I176" s="1"/>
      <c r="J176" s="13"/>
      <c r="K176" s="1"/>
      <c r="L176" s="1"/>
      <c r="M176" s="3046"/>
      <c r="N176" s="69" t="s">
        <v>2778</v>
      </c>
      <c r="O176" s="408">
        <f>+P175/O62</f>
        <v>4200.2857142857147</v>
      </c>
      <c r="Q176" s="926"/>
      <c r="R176" s="3012"/>
      <c r="S176" s="3013"/>
      <c r="T176" s="3013"/>
      <c r="U176" s="3013"/>
      <c r="V176" s="3014"/>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36">
        <f>SUM(F171:G176)</f>
        <v>8770</v>
      </c>
      <c r="G177" s="3037"/>
      <c r="H177" s="1"/>
      <c r="I177" s="1"/>
      <c r="J177" s="13"/>
      <c r="K177" s="1"/>
      <c r="L177" s="1"/>
      <c r="M177" s="3046"/>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336000</v>
      </c>
      <c r="R177" s="3012"/>
      <c r="S177" s="3013"/>
      <c r="T177" s="3013"/>
      <c r="U177" s="3013"/>
      <c r="V177" s="3014"/>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46"/>
      <c r="N178" s="1"/>
      <c r="O178" s="1"/>
      <c r="P178" s="5"/>
      <c r="Q178" s="5"/>
      <c r="R178" s="3012"/>
      <c r="S178" s="3013"/>
      <c r="T178" s="3013"/>
      <c r="U178" s="3013"/>
      <c r="V178" s="3014"/>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2775</v>
      </c>
      <c r="K179" s="1"/>
      <c r="L179" s="1"/>
      <c r="M179" s="1"/>
      <c r="N179" s="10" t="s">
        <v>3506</v>
      </c>
      <c r="O179" s="10"/>
      <c r="P179" s="2332">
        <f>P188</f>
        <v>21000</v>
      </c>
      <c r="Q179" s="927"/>
      <c r="R179" s="3012"/>
      <c r="S179" s="3013"/>
      <c r="T179" s="3013"/>
      <c r="U179" s="3013"/>
      <c r="V179" s="3014"/>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38">
        <v>11000</v>
      </c>
      <c r="G180" s="3039"/>
      <c r="H180" s="1"/>
      <c r="I180" s="1" t="s">
        <v>1380</v>
      </c>
      <c r="J180" s="481">
        <f>K180/12/O62</f>
        <v>14.880952380952381</v>
      </c>
      <c r="K180" s="3040">
        <v>15000</v>
      </c>
      <c r="L180" s="3041"/>
      <c r="M180" s="3032" t="str">
        <f>IF(P179&lt;P188, "WARNING! RR proposed is below the DCA required minimum.","")</f>
        <v/>
      </c>
      <c r="N180" s="1064" t="s">
        <v>3767</v>
      </c>
      <c r="O180" s="1059"/>
      <c r="P180" s="1065">
        <f>P179/O188</f>
        <v>250</v>
      </c>
      <c r="Q180" s="2333"/>
      <c r="R180" s="3012"/>
      <c r="S180" s="3013"/>
      <c r="T180" s="3013"/>
      <c r="U180" s="3013"/>
      <c r="V180" s="3014"/>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38">
        <v>13000</v>
      </c>
      <c r="G181" s="3039"/>
      <c r="H181" s="1"/>
      <c r="I181" s="1" t="s">
        <v>1381</v>
      </c>
      <c r="J181" s="481">
        <f>K181/12/O62</f>
        <v>0</v>
      </c>
      <c r="K181" s="3040"/>
      <c r="L181" s="3041"/>
      <c r="M181" s="3032"/>
      <c r="N181" s="3033" t="s">
        <v>3766</v>
      </c>
      <c r="O181" s="3034"/>
      <c r="P181" s="3035"/>
      <c r="R181" s="3012"/>
      <c r="S181" s="3013"/>
      <c r="T181" s="3013"/>
      <c r="U181" s="3013"/>
      <c r="V181" s="3014"/>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38">
        <v>15075</v>
      </c>
      <c r="G182" s="3039"/>
      <c r="H182" s="1"/>
      <c r="I182" s="1" t="s">
        <v>2369</v>
      </c>
      <c r="J182" s="481">
        <f>K182/12/O62</f>
        <v>14.880952380952381</v>
      </c>
      <c r="K182" s="3040">
        <v>15000</v>
      </c>
      <c r="L182" s="3041"/>
      <c r="M182" s="3032"/>
      <c r="N182" s="1058" t="s">
        <v>2734</v>
      </c>
      <c r="O182" s="922" t="s">
        <v>3879</v>
      </c>
      <c r="P182" s="1060" t="s">
        <v>3461</v>
      </c>
      <c r="Q182" s="922"/>
      <c r="R182" s="3012"/>
      <c r="S182" s="3013"/>
      <c r="T182" s="3013"/>
      <c r="U182" s="3013"/>
      <c r="V182" s="3014"/>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21">
        <v>9000</v>
      </c>
      <c r="G183" s="3022"/>
      <c r="H183" s="1"/>
      <c r="I183" s="1" t="s">
        <v>1383</v>
      </c>
      <c r="J183" s="1"/>
      <c r="K183" s="3040">
        <v>18000</v>
      </c>
      <c r="L183" s="3041"/>
      <c r="M183" s="3032"/>
      <c r="N183" s="672" t="s">
        <v>40</v>
      </c>
      <c r="O183" s="673"/>
      <c r="P183" s="674"/>
      <c r="Q183" s="673"/>
      <c r="R183" s="3012"/>
      <c r="S183" s="3013"/>
      <c r="T183" s="3013"/>
      <c r="U183" s="3013"/>
      <c r="V183" s="3014"/>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21">
        <v>17000</v>
      </c>
      <c r="G184" s="3022"/>
      <c r="H184" s="1"/>
      <c r="I184" s="3042" t="s">
        <v>52</v>
      </c>
      <c r="J184" s="3043"/>
      <c r="K184" s="3044"/>
      <c r="L184" s="3045"/>
      <c r="M184" s="3032"/>
      <c r="N184" s="516" t="s">
        <v>3453</v>
      </c>
      <c r="O184" s="929" t="str">
        <f>CONCATENATE(SUM(JC48:JG48)," units x $",'DCA Underwriting Assumptions'!$Q$65," =")</f>
        <v>0 units x $350 =</v>
      </c>
      <c r="P184" s="675">
        <f>SUM(JC48:JG48)*'DCA Underwriting Assumptions'!$Q$65</f>
        <v>0</v>
      </c>
      <c r="Q184" s="929"/>
      <c r="R184" s="3012"/>
      <c r="S184" s="3013"/>
      <c r="T184" s="3013"/>
      <c r="U184" s="3013"/>
      <c r="V184" s="3014"/>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21"/>
      <c r="G185" s="3022"/>
      <c r="H185" s="1"/>
      <c r="I185" s="1"/>
      <c r="J185" s="12" t="s">
        <v>193</v>
      </c>
      <c r="K185" s="3023">
        <f>SUM(K180:K184)</f>
        <v>48000</v>
      </c>
      <c r="L185" s="3024"/>
      <c r="M185" s="3032"/>
      <c r="N185" s="516" t="s">
        <v>3452</v>
      </c>
      <c r="O185" s="929" t="str">
        <f>CONCATENATE(SUM(JH48:JL48)," units x $",'DCA Underwriting Assumptions'!$Q$66," =")</f>
        <v>84 units x $250 =</v>
      </c>
      <c r="P185" s="675">
        <f>SUM(JH48:JL48)*'DCA Underwriting Assumptions'!$Q$66</f>
        <v>21000</v>
      </c>
      <c r="Q185" s="929"/>
      <c r="R185" s="3012"/>
      <c r="S185" s="3013"/>
      <c r="T185" s="3013"/>
      <c r="U185" s="3013"/>
      <c r="V185" s="3014"/>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21">
        <v>5000</v>
      </c>
      <c r="G186" s="3022"/>
      <c r="H186" s="1"/>
      <c r="I186" s="1"/>
      <c r="J186" s="13"/>
      <c r="K186" s="1"/>
      <c r="L186" s="1"/>
      <c r="M186" s="3032"/>
      <c r="N186" s="676" t="s">
        <v>3456</v>
      </c>
      <c r="O186" s="929" t="str">
        <f>CONCATENATE(SUM(JM48:JQ48)," units x $",'DCA Underwriting Assumptions'!$Q$67," =")</f>
        <v>0 units x $420 =</v>
      </c>
      <c r="P186" s="675">
        <f>SUM(JM48:JQ48)*'DCA Underwriting Assumptions'!$Q$67</f>
        <v>0</v>
      </c>
      <c r="Q186" s="929"/>
      <c r="R186" s="3012"/>
      <c r="S186" s="3013"/>
      <c r="T186" s="3013"/>
      <c r="U186" s="3013"/>
      <c r="V186" s="3014"/>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25" t="s">
        <v>52</v>
      </c>
      <c r="C187" s="3026"/>
      <c r="D187" s="3026"/>
      <c r="E187" s="3027"/>
      <c r="F187" s="3028"/>
      <c r="G187" s="3029"/>
      <c r="H187" s="1"/>
      <c r="I187" s="1"/>
      <c r="J187" s="13"/>
      <c r="K187" s="1"/>
      <c r="L187" s="1"/>
      <c r="M187" s="1"/>
      <c r="N187" s="676" t="s">
        <v>3451</v>
      </c>
      <c r="O187" s="929" t="str">
        <f>CONCATENATE(O84," units x $",'DCA Underwriting Assumptions'!$Q$67," =")</f>
        <v>0 units x $420 =</v>
      </c>
      <c r="P187" s="675">
        <f>O84*'DCA Underwriting Assumptions'!$Q$67</f>
        <v>0</v>
      </c>
      <c r="Q187" s="929"/>
      <c r="R187" s="3012"/>
      <c r="S187" s="3013"/>
      <c r="T187" s="3013"/>
      <c r="U187" s="3013"/>
      <c r="V187" s="3014"/>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30">
        <f>SUM(F180:G187)</f>
        <v>70075</v>
      </c>
      <c r="G188" s="3031"/>
      <c r="H188" s="1"/>
      <c r="I188" s="1"/>
      <c r="J188" s="13"/>
      <c r="K188" s="1"/>
      <c r="L188" s="1"/>
      <c r="M188" s="1"/>
      <c r="N188" s="1061" t="s">
        <v>2737</v>
      </c>
      <c r="O188" s="1062">
        <f>SUM(JC48:JG48)+SUM(JH48:JL48)+SUM(JM48:JQ48)+O84</f>
        <v>84</v>
      </c>
      <c r="P188" s="1063">
        <f>SUM(P184:P187)</f>
        <v>21000</v>
      </c>
      <c r="Q188" s="929"/>
      <c r="R188" s="3009"/>
      <c r="S188" s="3010"/>
      <c r="T188" s="3010"/>
      <c r="U188" s="3010"/>
      <c r="V188" s="3011"/>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373824</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4158</v>
      </c>
      <c r="N192" s="14"/>
    </row>
    <row r="193" spans="1:296" ht="409.5" customHeight="1">
      <c r="A193" s="2724" t="s">
        <v>4721</v>
      </c>
      <c r="B193" s="2724"/>
      <c r="C193" s="2724"/>
      <c r="D193" s="2724"/>
      <c r="E193" s="2724"/>
      <c r="F193" s="2724"/>
      <c r="G193" s="2724"/>
      <c r="H193" s="2724"/>
      <c r="I193" s="2724"/>
      <c r="J193" s="2724"/>
      <c r="K193" s="2724"/>
      <c r="L193" s="2724"/>
      <c r="M193" s="2723"/>
      <c r="N193" s="2723"/>
      <c r="O193" s="2723"/>
      <c r="P193" s="2723"/>
      <c r="Q193" s="3015" t="s">
        <v>4157</v>
      </c>
      <c r="R193" s="2434"/>
      <c r="S193" s="2434"/>
      <c r="T193" s="2434"/>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0CrgbKeCfDslaFvA5suln2rnNmTeW5fupFha7BTudqdIy3y3z5QwxjvACdIgYD/KDR9cAksW/1t+K2Ii6bppiA==" saltValue="p94cE8bBn3qDpYQEZuECW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activeCell="A5"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6" t="str">
        <f>CONCATENATE("PART SEVEN - OPERATING PRO FORMA","  -  ",'Part I-Project Information'!$O$6," ",'Part I-Project Information'!$F$34,", ",'Part I-Project Information'!F38,", ",'Part I-Project Information'!J39," County")</f>
        <v>PART SEVEN - OPERATING PRO FORMA  -  2018-021 Grayling Place, Columbus, Muscogee County</v>
      </c>
      <c r="B1" s="3087"/>
      <c r="C1" s="3087"/>
      <c r="D1" s="3087"/>
      <c r="E1" s="3087"/>
      <c r="F1" s="3087"/>
      <c r="G1" s="3087"/>
      <c r="H1" s="3087"/>
      <c r="I1" s="3087"/>
      <c r="J1" s="3087"/>
      <c r="K1" s="3088"/>
      <c r="L1" s="10"/>
      <c r="M1" s="10"/>
      <c r="N1" s="3089" t="str">
        <f>A1</f>
        <v>PART SEVEN - OPERATING PRO FORMA  -  2018-021 Grayling Place, Columbus, Muscogee County</v>
      </c>
      <c r="O1" s="3089"/>
      <c r="P1" s="10"/>
    </row>
    <row r="2" spans="1:19" ht="13.5" customHeight="1">
      <c r="A2" s="511"/>
      <c r="B2" s="511"/>
      <c r="C2" s="511"/>
      <c r="D2" s="511"/>
      <c r="E2" s="511"/>
      <c r="F2" s="511"/>
      <c r="G2" s="511"/>
      <c r="H2" s="511"/>
      <c r="I2" s="511"/>
      <c r="J2" s="511"/>
      <c r="K2" s="511"/>
      <c r="N2" s="3090" t="s">
        <v>1860</v>
      </c>
      <c r="O2" s="3090"/>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2205</v>
      </c>
      <c r="B5" s="80">
        <v>0.02</v>
      </c>
      <c r="C5" s="17"/>
      <c r="D5" s="3051" t="s">
        <v>4235</v>
      </c>
      <c r="E5" s="3051"/>
      <c r="F5" s="3051"/>
      <c r="G5" s="2272">
        <v>4500</v>
      </c>
      <c r="H5" s="99" t="s">
        <v>1923</v>
      </c>
      <c r="K5" s="104">
        <f>IF(($B$14+$B$15+$B$16+$B$17)=0,"",B28/($B$14+$B$15+$B$16+$B$17))</f>
        <v>-7.4016264630054869E-3</v>
      </c>
      <c r="N5" s="3016"/>
      <c r="O5" s="3018"/>
    </row>
    <row r="6" spans="1:19">
      <c r="A6" s="17" t="s">
        <v>2206</v>
      </c>
      <c r="B6" s="80">
        <v>0.03</v>
      </c>
      <c r="C6" s="17"/>
      <c r="D6" s="3051"/>
      <c r="E6" s="3051"/>
      <c r="F6" s="3051"/>
      <c r="G6" s="1364">
        <f>IF(OR('Part III-Sources of Funds'!B11="Yes",'Part III-Sources of Funds'!E11&gt;0),'DCA Underwriting Assumptions'!$Q$95,0)</f>
        <v>0</v>
      </c>
      <c r="H6" s="17"/>
      <c r="I6" s="17"/>
      <c r="J6" s="17"/>
      <c r="K6" s="17"/>
      <c r="N6" s="3012"/>
      <c r="O6" s="3014"/>
    </row>
    <row r="7" spans="1:19">
      <c r="A7" s="17" t="s">
        <v>2208</v>
      </c>
      <c r="B7" s="80">
        <v>0.03</v>
      </c>
      <c r="C7" s="17"/>
      <c r="D7" s="82" t="s">
        <v>272</v>
      </c>
      <c r="G7" s="84"/>
      <c r="H7" s="99" t="s">
        <v>2391</v>
      </c>
      <c r="K7" s="104">
        <f>IF(($B$14+$B$15+$B$16+$B$17)=0,"",-B20/($B$14+$B$15+$B$16+$B$17))</f>
        <v>8.0000068423924639E-2</v>
      </c>
      <c r="N7" s="3012"/>
      <c r="O7" s="3014"/>
    </row>
    <row r="8" spans="1:19" ht="13.15" customHeight="1">
      <c r="A8" s="17" t="s">
        <v>2207</v>
      </c>
      <c r="B8" s="2273">
        <v>7.0000000000000007E-2</v>
      </c>
      <c r="C8" s="17"/>
      <c r="D8" s="81" t="s">
        <v>2526</v>
      </c>
      <c r="G8" s="2274" t="s">
        <v>3015</v>
      </c>
      <c r="H8" s="169" t="s">
        <v>1456</v>
      </c>
      <c r="K8" s="2275"/>
      <c r="N8" s="3012"/>
      <c r="O8" s="3014"/>
    </row>
    <row r="9" spans="1:19">
      <c r="A9" s="17" t="s">
        <v>1430</v>
      </c>
      <c r="B9" s="80">
        <v>0.02</v>
      </c>
      <c r="D9" s="81" t="s">
        <v>1731</v>
      </c>
      <c r="G9" s="2274" t="s">
        <v>3012</v>
      </c>
      <c r="H9" s="169" t="s">
        <v>2373</v>
      </c>
      <c r="K9" s="2276">
        <v>0.08</v>
      </c>
      <c r="N9" s="3009"/>
      <c r="O9" s="3011"/>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3" t="s">
        <v>2642</v>
      </c>
      <c r="O13" s="2773"/>
    </row>
    <row r="14" spans="1:19" ht="13.15" customHeight="1">
      <c r="A14" s="19" t="s">
        <v>2421</v>
      </c>
      <c r="B14" s="20">
        <f>'Part VI-Revenues &amp; Expenses'!$L$49</f>
        <v>641736</v>
      </c>
      <c r="C14" s="20">
        <f t="shared" ref="C14:K14" si="1">$B$14*(1+$B$5)^(C13-1)</f>
        <v>654570.72</v>
      </c>
      <c r="D14" s="20">
        <f t="shared" si="1"/>
        <v>667662.13439999998</v>
      </c>
      <c r="E14" s="20">
        <f t="shared" si="1"/>
        <v>681015.37708799995</v>
      </c>
      <c r="F14" s="20">
        <f t="shared" si="1"/>
        <v>694635.68462975998</v>
      </c>
      <c r="G14" s="20">
        <f t="shared" si="1"/>
        <v>708528.39832235523</v>
      </c>
      <c r="H14" s="20">
        <f t="shared" si="1"/>
        <v>722698.96628880233</v>
      </c>
      <c r="I14" s="20">
        <f t="shared" si="1"/>
        <v>737152.9456145782</v>
      </c>
      <c r="J14" s="20">
        <f t="shared" si="1"/>
        <v>751896.00452686986</v>
      </c>
      <c r="K14" s="21">
        <f t="shared" si="1"/>
        <v>766933.92461740726</v>
      </c>
      <c r="N14" s="3016"/>
      <c r="O14" s="3018"/>
      <c r="S14" s="3082" t="s">
        <v>4240</v>
      </c>
    </row>
    <row r="15" spans="1:19" ht="13.15" customHeight="1">
      <c r="A15" s="22" t="s">
        <v>1026</v>
      </c>
      <c r="B15" s="23">
        <f>MIN(B14*B9,'Part VI-Revenues &amp; Expenses'!$H$122)</f>
        <v>12000</v>
      </c>
      <c r="C15" s="23">
        <f t="shared" ref="C15:K15" si="2">$B$15*(1+$B$5)^(C13-1)</f>
        <v>12240</v>
      </c>
      <c r="D15" s="23">
        <f t="shared" si="2"/>
        <v>12484.8</v>
      </c>
      <c r="E15" s="23">
        <f t="shared" si="2"/>
        <v>12734.495999999999</v>
      </c>
      <c r="F15" s="23">
        <f t="shared" si="2"/>
        <v>12989.18592</v>
      </c>
      <c r="G15" s="23">
        <f t="shared" si="2"/>
        <v>13248.9696384</v>
      </c>
      <c r="H15" s="23">
        <f t="shared" si="2"/>
        <v>13513.949031168</v>
      </c>
      <c r="I15" s="23">
        <f t="shared" si="2"/>
        <v>13784.228011791358</v>
      </c>
      <c r="J15" s="23">
        <f t="shared" si="2"/>
        <v>14059.912572027186</v>
      </c>
      <c r="K15" s="24">
        <f t="shared" si="2"/>
        <v>14341.11082346773</v>
      </c>
      <c r="N15" s="3012"/>
      <c r="O15" s="3014"/>
      <c r="S15" s="3083"/>
    </row>
    <row r="16" spans="1:19" ht="13.15" customHeight="1">
      <c r="A16" s="22" t="s">
        <v>2422</v>
      </c>
      <c r="B16" s="23">
        <f t="shared" ref="B16:K16" si="3">-(B14+B15)*$B$8</f>
        <v>-45761.520000000004</v>
      </c>
      <c r="C16" s="23">
        <f t="shared" si="3"/>
        <v>-46676.750400000004</v>
      </c>
      <c r="D16" s="23">
        <f t="shared" si="3"/>
        <v>-47610.285408000003</v>
      </c>
      <c r="E16" s="23">
        <f t="shared" si="3"/>
        <v>-48562.491116160003</v>
      </c>
      <c r="F16" s="23">
        <f t="shared" si="3"/>
        <v>-49533.740938483199</v>
      </c>
      <c r="G16" s="23">
        <f t="shared" si="3"/>
        <v>-50524.415757252871</v>
      </c>
      <c r="H16" s="23">
        <f t="shared" si="3"/>
        <v>-51534.904072397927</v>
      </c>
      <c r="I16" s="23">
        <f t="shared" si="3"/>
        <v>-52565.602153845874</v>
      </c>
      <c r="J16" s="23">
        <f t="shared" si="3"/>
        <v>-53616.9141969228</v>
      </c>
      <c r="K16" s="24">
        <f t="shared" si="3"/>
        <v>-54689.252480861251</v>
      </c>
      <c r="N16" s="3012"/>
      <c r="O16" s="3014"/>
      <c r="Q16" s="3085" t="s">
        <v>3916</v>
      </c>
      <c r="R16" s="3085" t="s">
        <v>4239</v>
      </c>
      <c r="S16" s="3083"/>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12"/>
      <c r="O17" s="3014"/>
      <c r="Q17" s="3085"/>
      <c r="R17" s="3085"/>
      <c r="S17" s="3084"/>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12"/>
      <c r="O18" s="3014"/>
    </row>
    <row r="19" spans="1:19" ht="13.15" customHeight="1">
      <c r="A19" s="22" t="s">
        <v>620</v>
      </c>
      <c r="B19" s="23">
        <f>-('Part VI-Revenues &amp; Expenses'!$P$175-'Part VI-Revenues &amp; Expenses'!$P$170)</f>
        <v>-304186</v>
      </c>
      <c r="C19" s="23">
        <f t="shared" ref="C19:K19" si="4">$B$19*(1+$B$6)^(C13-1)</f>
        <v>-313311.58</v>
      </c>
      <c r="D19" s="23">
        <f t="shared" si="4"/>
        <v>-322710.92739999999</v>
      </c>
      <c r="E19" s="23">
        <f t="shared" si="4"/>
        <v>-332392.25522200001</v>
      </c>
      <c r="F19" s="23">
        <f t="shared" si="4"/>
        <v>-342364.02287865995</v>
      </c>
      <c r="G19" s="23">
        <f t="shared" si="4"/>
        <v>-352634.94356501976</v>
      </c>
      <c r="H19" s="23">
        <f t="shared" si="4"/>
        <v>-363213.99187197036</v>
      </c>
      <c r="I19" s="23">
        <f t="shared" si="4"/>
        <v>-374110.41162812948</v>
      </c>
      <c r="J19" s="23">
        <f t="shared" si="4"/>
        <v>-385333.72397697333</v>
      </c>
      <c r="K19" s="24">
        <f t="shared" si="4"/>
        <v>-396893.73569628253</v>
      </c>
      <c r="N19" s="3012"/>
      <c r="O19" s="3014"/>
      <c r="Q19" s="63">
        <v>1</v>
      </c>
      <c r="R19" s="1197">
        <f>-B29</f>
        <v>35237</v>
      </c>
      <c r="S19" s="1197">
        <f>B30+R19</f>
        <v>36324.61947986111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-48638</v>
      </c>
      <c r="C20" s="23">
        <f>IF(AND('Part VII-Pro Forma'!$G$8="Yes",'Part VII-Pro Forma'!$G$9="Yes"),"Choose One!",IF('Part VII-Pro Forma'!$G$8="Yes",ROUND((-$K$8*(1+'Part VII-Pro Forma'!$B$6)^('Part VII-Pro Forma'!C13-1)),),IF('Part VII-Pro Forma'!$G$9="Yes",ROUND((-(SUM(C14:C17)*'Part VII-Pro Forma'!$K$9)),),"Choose mgt fee")))</f>
        <v>-49611</v>
      </c>
      <c r="D20" s="23">
        <f>IF(AND('Part VII-Pro Forma'!$G$8="Yes",'Part VII-Pro Forma'!$G$9="Yes"),"Choose One!",IF('Part VII-Pro Forma'!$G$8="Yes",ROUND((-$K$8*(1+'Part VII-Pro Forma'!$B$6)^('Part VII-Pro Forma'!D13-1)),),IF('Part VII-Pro Forma'!$G$9="Yes",ROUND((-(SUM(D14:D17)*'Part VII-Pro Forma'!$K$9)),),"Choose mgt fee")))</f>
        <v>-50603</v>
      </c>
      <c r="E20" s="23">
        <f>IF(AND('Part VII-Pro Forma'!$G$8="Yes",'Part VII-Pro Forma'!$G$9="Yes"),"Choose One!",IF('Part VII-Pro Forma'!$G$8="Yes",ROUND((-$K$8*(1+'Part VII-Pro Forma'!$B$6)^('Part VII-Pro Forma'!E13-1)),),IF('Part VII-Pro Forma'!$G$9="Yes",ROUND((-(SUM(E14:E17)*'Part VII-Pro Forma'!$K$9)),),"Choose mgt fee")))</f>
        <v>-51615</v>
      </c>
      <c r="F20" s="23">
        <f>IF(AND('Part VII-Pro Forma'!$G$8="Yes",'Part VII-Pro Forma'!$G$9="Yes"),"Choose One!",IF('Part VII-Pro Forma'!$G$8="Yes",ROUND((-$K$8*(1+'Part VII-Pro Forma'!$B$6)^('Part VII-Pro Forma'!F13-1)),),IF('Part VII-Pro Forma'!$G$9="Yes",ROUND((-(SUM(F14:F17)*'Part VII-Pro Forma'!$K$9)),),"Choose mgt fee")))</f>
        <v>-52647</v>
      </c>
      <c r="G20" s="23">
        <f>IF(AND('Part VII-Pro Forma'!$G$8="Yes",'Part VII-Pro Forma'!$G$9="Yes"),"Choose One!",IF('Part VII-Pro Forma'!$G$8="Yes",ROUND((-$K$8*(1+'Part VII-Pro Forma'!$B$6)^('Part VII-Pro Forma'!G13-1)),),IF('Part VII-Pro Forma'!$G$9="Yes",ROUND((-(SUM(G14:G17)*'Part VII-Pro Forma'!$K$9)),),"Choose mgt fee")))</f>
        <v>-53700</v>
      </c>
      <c r="H20" s="23">
        <f>IF(AND('Part VII-Pro Forma'!$G$8="Yes",'Part VII-Pro Forma'!$G$9="Yes"),"Choose One!",IF('Part VII-Pro Forma'!$G$8="Yes",ROUND((-$K$8*(1+'Part VII-Pro Forma'!$B$6)^('Part VII-Pro Forma'!H13-1)),),IF('Part VII-Pro Forma'!$G$9="Yes",ROUND((-(SUM(H14:H17)*'Part VII-Pro Forma'!$K$9)),),"Choose mgt fee")))</f>
        <v>-54774</v>
      </c>
      <c r="I20" s="23">
        <f>IF(AND('Part VII-Pro Forma'!$G$8="Yes",'Part VII-Pro Forma'!$G$9="Yes"),"Choose One!",IF('Part VII-Pro Forma'!$G$8="Yes",ROUND((-$K$8*(1+'Part VII-Pro Forma'!$B$6)^('Part VII-Pro Forma'!I13-1)),),IF('Part VII-Pro Forma'!$G$9="Yes",ROUND((-(SUM(I14:I17)*'Part VII-Pro Forma'!$K$9)),),"Choose mgt fee")))</f>
        <v>-55870</v>
      </c>
      <c r="J20" s="23">
        <f>IF(AND('Part VII-Pro Forma'!$G$8="Yes",'Part VII-Pro Forma'!$G$9="Yes"),"Choose One!",IF('Part VII-Pro Forma'!$G$8="Yes",ROUND((-$K$8*(1+'Part VII-Pro Forma'!$B$6)^('Part VII-Pro Forma'!J13-1)),),IF('Part VII-Pro Forma'!$G$9="Yes",ROUND((-(SUM(J14:J17)*'Part VII-Pro Forma'!$K$9)),),"Choose mgt fee")))</f>
        <v>-56987</v>
      </c>
      <c r="K20" s="23">
        <f>IF(AND('Part VII-Pro Forma'!$G$8="Yes",'Part VII-Pro Forma'!$G$9="Yes"),"Choose One!",IF('Part VII-Pro Forma'!$G$8="Yes",ROUND((-$K$8*(1+'Part VII-Pro Forma'!$B$6)^('Part VII-Pro Forma'!K13-1)),),IF('Part VII-Pro Forma'!$G$9="Yes",ROUND((-(SUM(K14:K17)*'Part VII-Pro Forma'!$K$9)),),"Choose mgt fee")))</f>
        <v>-58127</v>
      </c>
      <c r="N20" s="3012"/>
      <c r="O20" s="3014"/>
      <c r="Q20" s="63">
        <v>2</v>
      </c>
      <c r="R20" s="1197">
        <f>-SUM($B$29:$C$29)</f>
        <v>70474</v>
      </c>
      <c r="S20" s="1197">
        <f>SUM($B$30:$C$30)+R20</f>
        <v>73945.148559722176</v>
      </c>
    </row>
    <row r="21" spans="1:19" ht="13.15" customHeight="1">
      <c r="A21" s="22" t="s">
        <v>1214</v>
      </c>
      <c r="B21" s="23">
        <f>-('Part VI-Revenues &amp; Expenses'!$P$179)</f>
        <v>-21000</v>
      </c>
      <c r="C21" s="23">
        <f t="shared" ref="C21:K21" si="5">$B$21*(1+$B$7)^(C13-1)</f>
        <v>-21630</v>
      </c>
      <c r="D21" s="23">
        <f t="shared" si="5"/>
        <v>-22278.899999999998</v>
      </c>
      <c r="E21" s="23">
        <f t="shared" si="5"/>
        <v>-22947.267</v>
      </c>
      <c r="F21" s="23">
        <f t="shared" si="5"/>
        <v>-23635.685009999997</v>
      </c>
      <c r="G21" s="23">
        <f t="shared" si="5"/>
        <v>-24344.755560299996</v>
      </c>
      <c r="H21" s="23">
        <f t="shared" si="5"/>
        <v>-25075.098227109</v>
      </c>
      <c r="I21" s="23">
        <f t="shared" si="5"/>
        <v>-25827.35117392227</v>
      </c>
      <c r="J21" s="23">
        <f t="shared" si="5"/>
        <v>-26602.171709139933</v>
      </c>
      <c r="K21" s="24">
        <f t="shared" si="5"/>
        <v>-27400.236860414134</v>
      </c>
      <c r="N21" s="3012"/>
      <c r="O21" s="3014"/>
      <c r="Q21" s="63">
        <v>3</v>
      </c>
      <c r="R21" s="1197">
        <f>-SUM($B$29:$D$29)</f>
        <v>105711</v>
      </c>
      <c r="S21" s="1197">
        <f>SUM($B$30:$D$30)+R21</f>
        <v>112789.05963158335</v>
      </c>
    </row>
    <row r="22" spans="1:19" ht="13.15" customHeight="1">
      <c r="A22" s="22" t="s">
        <v>1215</v>
      </c>
      <c r="B22" s="23">
        <f t="shared" ref="B22:K22" si="6">SUM(B14:B21)</f>
        <v>234150.47999999998</v>
      </c>
      <c r="C22" s="23">
        <f t="shared" si="6"/>
        <v>235581.38959999994</v>
      </c>
      <c r="D22" s="23">
        <f t="shared" si="6"/>
        <v>236943.82159200005</v>
      </c>
      <c r="E22" s="23">
        <f t="shared" si="6"/>
        <v>238232.85974984005</v>
      </c>
      <c r="F22" s="23">
        <f t="shared" si="6"/>
        <v>239444.42172261685</v>
      </c>
      <c r="G22" s="23">
        <f t="shared" si="6"/>
        <v>240573.25307818266</v>
      </c>
      <c r="H22" s="23">
        <f t="shared" si="6"/>
        <v>241614.92114849301</v>
      </c>
      <c r="I22" s="23">
        <f t="shared" si="6"/>
        <v>242563.80867047198</v>
      </c>
      <c r="J22" s="23">
        <f t="shared" si="6"/>
        <v>243416.10721586097</v>
      </c>
      <c r="K22" s="24">
        <f t="shared" si="6"/>
        <v>244164.81040331707</v>
      </c>
      <c r="N22" s="3012"/>
      <c r="O22" s="3014"/>
      <c r="Q22" s="1040">
        <v>4</v>
      </c>
      <c r="R22" s="1197">
        <f>-SUM($B$29:$E$29)</f>
        <v>140948</v>
      </c>
      <c r="S22" s="1197">
        <f>SUM($B$30:$E$30)+R22</f>
        <v>152778.78736128454</v>
      </c>
    </row>
    <row r="23" spans="1:19" ht="13.15" customHeight="1">
      <c r="A23" s="435" t="s">
        <v>1603</v>
      </c>
      <c r="B23" s="2277">
        <f>IF('Part III-Sources of Funds'!$N$37="", 0,-'Part III-Sources of Funds'!$N$37)</f>
        <v>-193325.86052013887</v>
      </c>
      <c r="C23" s="2277">
        <f>IF('Part III-Sources of Funds'!$N$37="", 0,-'Part III-Sources of Funds'!$N$37)</f>
        <v>-193325.86052013887</v>
      </c>
      <c r="D23" s="2277">
        <f>IF('Part III-Sources of Funds'!$N$37="", 0,-'Part III-Sources of Funds'!$N$37)</f>
        <v>-193325.86052013887</v>
      </c>
      <c r="E23" s="2277">
        <f>IF('Part III-Sources of Funds'!$N$37="", 0,-'Part III-Sources of Funds'!$N$37)</f>
        <v>-193325.86052013887</v>
      </c>
      <c r="F23" s="2277">
        <f>IF('Part III-Sources of Funds'!$N$37="", 0,-'Part III-Sources of Funds'!$N$37)</f>
        <v>-193325.86052013887</v>
      </c>
      <c r="G23" s="2277">
        <f>IF('Part III-Sources of Funds'!$N$37="", 0,-'Part III-Sources of Funds'!$N$37)</f>
        <v>-193325.86052013887</v>
      </c>
      <c r="H23" s="2277">
        <f>IF('Part III-Sources of Funds'!$N$37="", 0,-'Part III-Sources of Funds'!$N$37)</f>
        <v>-193325.86052013887</v>
      </c>
      <c r="I23" s="2277">
        <f>IF('Part III-Sources of Funds'!$N$37="", 0,-'Part III-Sources of Funds'!$N$37)</f>
        <v>-193325.86052013887</v>
      </c>
      <c r="J23" s="2277">
        <f>IF('Part III-Sources of Funds'!$N$37="", 0,-'Part III-Sources of Funds'!$N$37)</f>
        <v>-193325.86052013887</v>
      </c>
      <c r="K23" s="2277">
        <f>IF('Part III-Sources of Funds'!$N$37="", 0,-'Part III-Sources of Funds'!$N$37)</f>
        <v>-193325.86052013887</v>
      </c>
      <c r="N23" s="3012"/>
      <c r="O23" s="3014"/>
      <c r="Q23" s="1040">
        <v>5</v>
      </c>
      <c r="R23" s="1197">
        <f>-SUM($B$29:$F$29)</f>
        <v>176185</v>
      </c>
      <c r="S23" s="1197">
        <f>SUM($B$30:$F$30)+R23</f>
        <v>193832.55891876252</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12"/>
      <c r="O24" s="3014"/>
      <c r="Q24" s="1040">
        <v>6</v>
      </c>
      <c r="R24" s="1197">
        <f>-SUM($B$29:$G$29)</f>
        <v>211422</v>
      </c>
      <c r="S24" s="1197">
        <f>SUM($B$30:$G$30)+R24</f>
        <v>235863.21814245632</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12"/>
      <c r="O25" s="3014"/>
      <c r="Q25" s="1040">
        <v>7</v>
      </c>
      <c r="R25" s="1197">
        <f>-SUM($B$29:$H$29)</f>
        <v>246659</v>
      </c>
      <c r="S25" s="1197">
        <f>SUM($B$30:$H$30)+R25</f>
        <v>278779.04343642993</v>
      </c>
    </row>
    <row r="26" spans="1:19" ht="13.15" customHeight="1">
      <c r="A26" s="435" t="s">
        <v>3882</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12"/>
      <c r="O26" s="3014"/>
      <c r="Q26" s="1040">
        <v>8</v>
      </c>
      <c r="R26" s="1197">
        <f>-SUM($B$29:$I$29)</f>
        <v>281896</v>
      </c>
      <c r="S26" s="1197">
        <f>SUM($B$30:$I$30)+R26</f>
        <v>322482.55919235112</v>
      </c>
    </row>
    <row r="27" spans="1:19" ht="13.15" customHeight="1">
      <c r="A27" s="22" t="s">
        <v>771</v>
      </c>
      <c r="B27" s="2279"/>
      <c r="C27" s="2279"/>
      <c r="D27" s="2279"/>
      <c r="E27" s="2279"/>
      <c r="F27" s="2279"/>
      <c r="G27" s="2279"/>
      <c r="H27" s="2279"/>
      <c r="I27" s="2279"/>
      <c r="J27" s="2279"/>
      <c r="K27" s="2279"/>
      <c r="N27" s="3012"/>
      <c r="O27" s="3014"/>
      <c r="Q27" s="1040">
        <v>9</v>
      </c>
      <c r="R27" s="1197">
        <f>-SUM($B$29:$J$29)</f>
        <v>317133</v>
      </c>
      <c r="S27" s="1197">
        <f>SUM($B$30:$J$30)+R27</f>
        <v>366872.34052182897</v>
      </c>
    </row>
    <row r="28" spans="1:19" ht="13.15" customHeight="1">
      <c r="A28" s="435" t="s">
        <v>1174</v>
      </c>
      <c r="B28" s="2280">
        <f>-$G$5</f>
        <v>-4500</v>
      </c>
      <c r="C28" s="2280">
        <f>(+B28*0.03)+B28</f>
        <v>-4635</v>
      </c>
      <c r="D28" s="2281">
        <f>(+C28*0.03)+C28</f>
        <v>-4774.05</v>
      </c>
      <c r="E28" s="2280">
        <f>(+D28*0.03)+D28</f>
        <v>-4917.2714999999998</v>
      </c>
      <c r="F28" s="2280">
        <f t="shared" ref="F28:K28" si="7">(+E28*0.03)+E28</f>
        <v>-5064.7896449999998</v>
      </c>
      <c r="G28" s="2281">
        <f t="shared" si="7"/>
        <v>-5216.7333343499995</v>
      </c>
      <c r="H28" s="2280">
        <f t="shared" si="7"/>
        <v>-5373.2353343804998</v>
      </c>
      <c r="I28" s="2280">
        <f t="shared" si="7"/>
        <v>-5534.4323944119151</v>
      </c>
      <c r="J28" s="2281">
        <f t="shared" si="7"/>
        <v>-5700.4653662442724</v>
      </c>
      <c r="K28" s="2280">
        <f t="shared" si="7"/>
        <v>-5871.479327231601</v>
      </c>
      <c r="N28" s="3012"/>
      <c r="O28" s="3014"/>
      <c r="Q28" s="1040">
        <v>10</v>
      </c>
      <c r="R28" s="1197">
        <f>-SUM($B$29:$K$29)</f>
        <v>352370</v>
      </c>
      <c r="S28" s="1197">
        <f>SUM($B$30:$K$30)+R28</f>
        <v>411839.81107777555</v>
      </c>
    </row>
    <row r="29" spans="1:19" ht="13.15" customHeight="1">
      <c r="A29" s="435" t="s">
        <v>4131</v>
      </c>
      <c r="B29" s="2282">
        <v>-35237</v>
      </c>
      <c r="C29" s="2282">
        <f>B29</f>
        <v>-35237</v>
      </c>
      <c r="D29" s="2282">
        <f>C29</f>
        <v>-35237</v>
      </c>
      <c r="E29" s="2282">
        <f t="shared" ref="E29:K29" si="8">D29</f>
        <v>-35237</v>
      </c>
      <c r="F29" s="2282">
        <f t="shared" si="8"/>
        <v>-35237</v>
      </c>
      <c r="G29" s="2282">
        <f t="shared" si="8"/>
        <v>-35237</v>
      </c>
      <c r="H29" s="2282">
        <f t="shared" si="8"/>
        <v>-35237</v>
      </c>
      <c r="I29" s="2282">
        <f t="shared" si="8"/>
        <v>-35237</v>
      </c>
      <c r="J29" s="2282">
        <f t="shared" si="8"/>
        <v>-35237</v>
      </c>
      <c r="K29" s="2282">
        <f t="shared" si="8"/>
        <v>-35237</v>
      </c>
      <c r="N29" s="3012"/>
      <c r="O29" s="3014"/>
      <c r="Q29" s="1040">
        <v>11</v>
      </c>
      <c r="R29" s="1197">
        <f>-SUM($B$29:$K$29)-$B$59</f>
        <v>387607</v>
      </c>
      <c r="S29" s="1197">
        <f>SUM($B$30:$K$30)+$B$60+R29</f>
        <v>457272.03373640461</v>
      </c>
    </row>
    <row r="30" spans="1:19" ht="13.15" customHeight="1">
      <c r="A30" s="22" t="s">
        <v>1175</v>
      </c>
      <c r="B30" s="23">
        <f>SUM(B22:B29)</f>
        <v>1087.6194798611104</v>
      </c>
      <c r="C30" s="23">
        <f t="shared" ref="C30:K30" si="9">SUM(C22:C29)</f>
        <v>2383.5290798610658</v>
      </c>
      <c r="D30" s="23">
        <f t="shared" si="9"/>
        <v>3606.9110718611773</v>
      </c>
      <c r="E30" s="23">
        <f t="shared" si="9"/>
        <v>4752.7277297011751</v>
      </c>
      <c r="F30" s="23">
        <f t="shared" si="9"/>
        <v>5816.7715574779868</v>
      </c>
      <c r="G30" s="23">
        <f t="shared" si="9"/>
        <v>6793.659223693794</v>
      </c>
      <c r="H30" s="23">
        <f t="shared" si="9"/>
        <v>7678.8252939736412</v>
      </c>
      <c r="I30" s="23">
        <f t="shared" si="9"/>
        <v>8466.5157559211875</v>
      </c>
      <c r="J30" s="23">
        <f t="shared" si="9"/>
        <v>9152.7813294778316</v>
      </c>
      <c r="K30" s="23">
        <f t="shared" si="9"/>
        <v>9730.4705559465947</v>
      </c>
      <c r="N30" s="3012"/>
      <c r="O30" s="3014"/>
      <c r="Q30" s="1040">
        <v>12</v>
      </c>
      <c r="R30" s="1197">
        <f>-SUM($B$29:$K$29) - SUM($B$59:$C$59)</f>
        <v>422844</v>
      </c>
      <c r="S30" s="1197">
        <f>SUM($B$30:$K$30) + SUM($B$60:$C$60)+R30</f>
        <v>503048.4939042044</v>
      </c>
    </row>
    <row r="31" spans="1:19" ht="13.15" customHeight="1">
      <c r="A31" s="22" t="str">
        <f>IF('Part III-Sources of Funds'!$E$37 = "Neither", "", "DCR Mortgage A")</f>
        <v>DCR Mortgage A</v>
      </c>
      <c r="B31" s="25">
        <f t="shared" ref="B31:K31" si="10">IF(B23=0,"",-B22/B23)</f>
        <v>1.2111699871399688</v>
      </c>
      <c r="C31" s="25">
        <f t="shared" si="10"/>
        <v>1.2185715297796866</v>
      </c>
      <c r="D31" s="25">
        <f t="shared" si="10"/>
        <v>1.2256188642042407</v>
      </c>
      <c r="E31" s="25">
        <f t="shared" si="10"/>
        <v>1.2322865606747069</v>
      </c>
      <c r="F31" s="25">
        <f t="shared" si="10"/>
        <v>1.238553502766764</v>
      </c>
      <c r="G31" s="25">
        <f t="shared" si="10"/>
        <v>1.244392511332554</v>
      </c>
      <c r="H31" s="25">
        <f t="shared" si="10"/>
        <v>1.2497806578925008</v>
      </c>
      <c r="I31" s="25">
        <f t="shared" si="10"/>
        <v>1.2546888865145072</v>
      </c>
      <c r="J31" s="25">
        <f t="shared" si="10"/>
        <v>1.2590974976702829</v>
      </c>
      <c r="K31" s="26">
        <f t="shared" si="10"/>
        <v>1.2629702500555133</v>
      </c>
      <c r="N31" s="3012"/>
      <c r="O31" s="3014"/>
      <c r="Q31" s="1040">
        <v>13</v>
      </c>
      <c r="R31" s="1197">
        <f>-SUM($B$29:$K$29) - SUM($B$59:$D$59)</f>
        <v>458081</v>
      </c>
      <c r="S31" s="1197">
        <f>SUM($B$30:$K$30) + SUM($B$60:$D$60)+R31</f>
        <v>549042.8752067266</v>
      </c>
    </row>
    <row r="32" spans="1:19" ht="13.15" customHeight="1">
      <c r="A32" s="22" t="str">
        <f>IF('Part III-Sources of Funds'!$E$37 = "Neither", "", "DCR Mortgage B")</f>
        <v>DCR Mortgage B</v>
      </c>
      <c r="B32" s="25" t="str">
        <f t="shared" ref="B32:K32" si="11">IF(B24=0,"",-(B22+B23)/B24)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N32" s="3012"/>
      <c r="O32" s="3014"/>
      <c r="Q32" s="1040">
        <v>14</v>
      </c>
      <c r="R32" s="1197">
        <f>-SUM($B$29:$K$29) - SUM($B$59:$E$59)</f>
        <v>493318</v>
      </c>
      <c r="S32" s="1197">
        <f>SUM($B$30:$K$30) + SUM($B$60:$E$60)+R32</f>
        <v>595123.82730829413</v>
      </c>
    </row>
    <row r="33" spans="1:19" ht="13.15"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012"/>
      <c r="O33" s="3014"/>
      <c r="Q33" s="1040">
        <v>15</v>
      </c>
      <c r="R33" s="1197">
        <f>-SUM($B$29:$K$29) - SUM($B$59:$F$59)</f>
        <v>493318</v>
      </c>
      <c r="S33" s="1197">
        <f>SUM($B$30:$K$30) + SUM($B$60:$F$60)+R33</f>
        <v>641150.72560376604</v>
      </c>
    </row>
    <row r="34" spans="1:19" ht="13.15" customHeight="1">
      <c r="A34" s="22" t="s">
        <v>791</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012"/>
      <c r="O34" s="3014"/>
      <c r="Q34" s="63">
        <v>16</v>
      </c>
      <c r="R34" s="1197">
        <f>-SUM($B$29:$K$29) - SUM($B$59:$G$59)</f>
        <v>493318</v>
      </c>
      <c r="S34" s="1197">
        <f>SUM($B$30:$K$30) + SUM($B$60:$G$60)+R34</f>
        <v>693989.27588996757</v>
      </c>
    </row>
    <row r="35" spans="1:19" ht="13.15" customHeight="1">
      <c r="A35" s="435" t="s">
        <v>3741</v>
      </c>
      <c r="B35" s="25">
        <f t="shared" ref="B35:K35" si="14">IF(AND(B23=0,B24=0,B25=0,B26=0),"",-B22/(B23+B24+B25+B26))</f>
        <v>1.2111699871399688</v>
      </c>
      <c r="C35" s="25">
        <f t="shared" si="14"/>
        <v>1.2185715297796866</v>
      </c>
      <c r="D35" s="25">
        <f t="shared" si="14"/>
        <v>1.2256188642042407</v>
      </c>
      <c r="E35" s="25">
        <f t="shared" si="14"/>
        <v>1.2322865606747069</v>
      </c>
      <c r="F35" s="25">
        <f t="shared" si="14"/>
        <v>1.238553502766764</v>
      </c>
      <c r="G35" s="25">
        <f t="shared" si="14"/>
        <v>1.244392511332554</v>
      </c>
      <c r="H35" s="25">
        <f t="shared" si="14"/>
        <v>1.2497806578925008</v>
      </c>
      <c r="I35" s="25">
        <f t="shared" si="14"/>
        <v>1.2546888865145072</v>
      </c>
      <c r="J35" s="25">
        <f t="shared" si="14"/>
        <v>1.2590974976702829</v>
      </c>
      <c r="K35" s="26">
        <f t="shared" si="14"/>
        <v>1.2629702500555133</v>
      </c>
      <c r="N35" s="3012"/>
      <c r="O35" s="3014"/>
      <c r="Q35" s="63">
        <v>17</v>
      </c>
      <c r="R35" s="1197">
        <f>-SUM($B$29:$K$29) - SUM($B$59:$H$59)</f>
        <v>493318</v>
      </c>
      <c r="S35" s="1197">
        <f>SUM($B$30:$K$30) + SUM($B$60:$H$60)+R35</f>
        <v>746685.02246894862</v>
      </c>
    </row>
    <row r="36" spans="1:19" ht="13.15" customHeight="1">
      <c r="A36" s="22" t="s">
        <v>778</v>
      </c>
      <c r="B36" s="274">
        <f t="shared" ref="B36:K36" si="15">IF(OR(B20="Choose mgt fee",B20="Choose One!"),"",(B14+B15+B16+B17+B18) / -(B19+B20+B21))</f>
        <v>1.6263655624036979</v>
      </c>
      <c r="C36" s="274">
        <f t="shared" si="15"/>
        <v>1.6126116475411501</v>
      </c>
      <c r="D36" s="274">
        <f t="shared" si="15"/>
        <v>1.5989588414665983</v>
      </c>
      <c r="E36" s="274">
        <f t="shared" si="15"/>
        <v>1.5854041342238245</v>
      </c>
      <c r="F36" s="274">
        <f t="shared" si="15"/>
        <v>1.5719486555386879</v>
      </c>
      <c r="G36" s="274">
        <f t="shared" si="15"/>
        <v>1.5585897212401003</v>
      </c>
      <c r="H36" s="274">
        <f t="shared" si="15"/>
        <v>1.5453284792792426</v>
      </c>
      <c r="I36" s="274">
        <f t="shared" si="15"/>
        <v>1.5321625221547897</v>
      </c>
      <c r="J36" s="274">
        <f t="shared" si="15"/>
        <v>1.5190962297963766</v>
      </c>
      <c r="K36" s="275">
        <f t="shared" si="15"/>
        <v>1.5061239545812273</v>
      </c>
      <c r="N36" s="3012"/>
      <c r="O36" s="3014"/>
      <c r="Q36" s="63">
        <v>18</v>
      </c>
      <c r="R36" s="1197">
        <f>-SUM($B$29:$K$29) - SUM($B$59:$I$59)</f>
        <v>493318</v>
      </c>
      <c r="S36" s="1197">
        <f>SUM($B$30:$K$30) + SUM($B$60:$I$60)+R36</f>
        <v>799082.30050886446</v>
      </c>
    </row>
    <row r="37" spans="1:19" ht="13.15" customHeight="1">
      <c r="A37" s="435" t="s">
        <v>2635</v>
      </c>
      <c r="B37" s="2283">
        <f>IF('Part III-Sources of Funds'!$I$37="","",-FV('Part III-Sources of Funds'!$K$37/12,12,B23/12,'Part III-Sources of Funds'!$I$37))</f>
        <v>2970949.0693541788</v>
      </c>
      <c r="C37" s="2283">
        <f>IF('Part III-Sources of Funds'!$I$37="","",-FV('Part III-Sources of Funds'!$K$37/12,12,C23/12,B37))</f>
        <v>2940259.4378684186</v>
      </c>
      <c r="D37" s="2283">
        <f>IF('Part III-Sources of Funds'!$I$37="","",-FV('Part III-Sources of Funds'!$K$37/12,12,D23/12,C37))</f>
        <v>2907838.6699345261</v>
      </c>
      <c r="E37" s="2283">
        <f>IF('Part III-Sources of Funds'!$I$37="","",-FV('Part III-Sources of Funds'!$K$37/12,12,E23/12,D37))</f>
        <v>2873589.1158494265</v>
      </c>
      <c r="F37" s="2283">
        <f>IF('Part III-Sources of Funds'!$I$37="","",-FV('Part III-Sources of Funds'!$K$37/12,12,F23/12,E37))</f>
        <v>2837407.6176992278</v>
      </c>
      <c r="G37" s="2283">
        <f>IF('Part III-Sources of Funds'!$I$37="","",-FV('Part III-Sources of Funds'!$K$37/12,12,G23/12,F37))</f>
        <v>2799185.1986528332</v>
      </c>
      <c r="H37" s="2283">
        <f>IF('Part III-Sources of Funds'!$I$37="","",-FV('Part III-Sources of Funds'!$K$37/12,12,H23/12,G37))</f>
        <v>2758806.7347292723</v>
      </c>
      <c r="I37" s="2283">
        <f>IF('Part III-Sources of Funds'!$I$37="","",-FV('Part III-Sources of Funds'!$K$37/12,12,I23/12,H37))</f>
        <v>2716150.6080501289</v>
      </c>
      <c r="J37" s="2283">
        <f>IF('Part III-Sources of Funds'!$I$37="","",-FV('Part III-Sources of Funds'!$K$37/12,12,J23/12,I37))</f>
        <v>2671088.3405326805</v>
      </c>
      <c r="K37" s="2283">
        <f>IF('Part III-Sources of Funds'!$I$37="","",-FV('Part III-Sources of Funds'!$K$37/12,12,K23/12,J37))</f>
        <v>2623484.2069204524</v>
      </c>
      <c r="N37" s="3012"/>
      <c r="O37" s="3014"/>
      <c r="Q37" s="1040">
        <v>19</v>
      </c>
      <c r="R37" s="1197">
        <f>-SUM($B$29:$K$29) - SUM($B$59:$J$59)</f>
        <v>493318</v>
      </c>
      <c r="S37" s="1197">
        <f>SUM($B$30:$K$30) + SUM($B$60:$J$60)+R37</f>
        <v>851019.31221850193</v>
      </c>
    </row>
    <row r="38" spans="1:19" ht="13.15" customHeight="1">
      <c r="A38" s="435" t="s">
        <v>2636</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12"/>
      <c r="O38" s="3014"/>
      <c r="Q38" s="1040">
        <v>20</v>
      </c>
      <c r="R38" s="1197">
        <f>-SUM($B$29:$K$29) - SUM($B$59:$K$59)</f>
        <v>493318</v>
      </c>
      <c r="S38" s="1197">
        <f>SUM($B$30:$K$30) + SUM($B$60:$K$60)+R38</f>
        <v>902325.8473982116</v>
      </c>
    </row>
    <row r="39" spans="1:19" ht="13.15" customHeight="1">
      <c r="A39" s="435" t="s">
        <v>2637</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12"/>
      <c r="O39" s="3014"/>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12"/>
      <c r="O40" s="3014"/>
    </row>
    <row r="41" spans="1:19" ht="13.15" customHeight="1">
      <c r="A41" s="435" t="s">
        <v>4132</v>
      </c>
      <c r="B41" s="2282">
        <f>IF('Part III-Sources of Funds'!$I$42="","",-FV('Part III-Sources of Funds'!$K$42/12,12,B29/12,'Part III-Sources of Funds'!$I$42))</f>
        <v>346613.34603928495</v>
      </c>
      <c r="C41" s="2282">
        <f>IF('Part III-Sources of Funds'!$I$42="","",IF(-FV('Part III-Sources of Funds'!$K$42/12,12,C29/12,B41)&gt;0,-FV('Part III-Sources of Funds'!$K$42/12,12,C29/12,B41),0))</f>
        <v>328290.90674061998</v>
      </c>
      <c r="D41" s="2282">
        <f>IF('Part III-Sources of Funds'!$I$42="","",IF(-FV('Part III-Sources of Funds'!$K$42/12,12,D29/12,C41)&gt;0,-FV('Part III-Sources of Funds'!$K$42/12,12,D29/12,C41),0))</f>
        <v>309031.05667361245</v>
      </c>
      <c r="E41" s="2282">
        <f>IF('Part III-Sources of Funds'!$I$42="","",IF(-FV('Part III-Sources of Funds'!$K$42/12,12,E29/12,D41)&gt;0,-FV('Part III-Sources of Funds'!$K$42/12,12,E29/12,D41),0))</f>
        <v>288785.83612425916</v>
      </c>
      <c r="F41" s="2282">
        <f>IF('Part III-Sources of Funds'!$I$42="","",IF(-FV('Part III-Sources of Funds'!$K$42/12,12,F29/12,E41)&gt;0,-FV('Part III-Sources of Funds'!$K$42/12,12,F29/12,E41),0))</f>
        <v>267504.83166856668</v>
      </c>
      <c r="G41" s="2282">
        <f>IF('Part III-Sources of Funds'!$I$42="","",IF(-FV('Part III-Sources of Funds'!$K$42/12,12,G29/12,F41)&gt;0,-FV('Part III-Sources of Funds'!$K$42/12,12,G29/12,F41),0))</f>
        <v>245135.05063609139</v>
      </c>
      <c r="H41" s="2282">
        <f>IF('Part III-Sources of Funds'!$I$42="","",IF(-FV('Part III-Sources of Funds'!$K$42/12,12,H29/12,G41)&gt;0,-FV('Part III-Sources of Funds'!$K$42/12,12,H29/12,G41),0))</f>
        <v>221620.78915079584</v>
      </c>
      <c r="I41" s="2282">
        <f>IF('Part III-Sources of Funds'!$I$42="","",IF(-FV('Part III-Sources of Funds'!$K$42/12,12,I29/12,H41)&gt;0,-FV('Part III-Sources of Funds'!$K$42/12,12,I29/12,H41),0))</f>
        <v>196903.49342062522</v>
      </c>
      <c r="J41" s="2282">
        <f>IF('Part III-Sources of Funds'!$I$42="","",IF(-FV('Part III-Sources of Funds'!$K$42/12,12,J29/12,I41)&gt;0,-FV('Part III-Sources of Funds'!$K$42/12,12,J29/12,I41),0))</f>
        <v>170921.61393039502</v>
      </c>
      <c r="K41" s="2282">
        <f>IF('Part III-Sources of Funds'!$I$42="","",IF(-FV('Part III-Sources of Funds'!$K$42/12,12,K29/12,J41)&gt;0,-FV('Part III-Sources of Funds'!$K$42/12,12,K29/12,J41),0))</f>
        <v>143610.45217491014</v>
      </c>
      <c r="N41" s="3009"/>
      <c r="O41" s="3011"/>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773" t="s">
        <v>2640</v>
      </c>
      <c r="O43" s="2773"/>
    </row>
    <row r="44" spans="1:19" ht="13.15" customHeight="1">
      <c r="A44" s="19" t="s">
        <v>2421</v>
      </c>
      <c r="B44" s="20">
        <f t="shared" ref="B44:K44" si="17">$B$14*(1+$B$5)^(B43-1)</f>
        <v>782272.60310975544</v>
      </c>
      <c r="C44" s="20">
        <f t="shared" si="17"/>
        <v>797918.05517195037</v>
      </c>
      <c r="D44" s="20">
        <f t="shared" si="17"/>
        <v>813876.41627538949</v>
      </c>
      <c r="E44" s="20">
        <f t="shared" si="17"/>
        <v>830153.94460089726</v>
      </c>
      <c r="F44" s="20">
        <f t="shared" si="17"/>
        <v>846757.02349291532</v>
      </c>
      <c r="G44" s="20">
        <f t="shared" si="17"/>
        <v>863692.1639627734</v>
      </c>
      <c r="H44" s="20">
        <f t="shared" si="17"/>
        <v>880966.00724202895</v>
      </c>
      <c r="I44" s="20">
        <f t="shared" si="17"/>
        <v>898585.3273868697</v>
      </c>
      <c r="J44" s="20">
        <f t="shared" si="17"/>
        <v>916557.03393460694</v>
      </c>
      <c r="K44" s="21">
        <f t="shared" si="17"/>
        <v>934888.17461329908</v>
      </c>
      <c r="N44" s="3016"/>
      <c r="O44" s="3018"/>
    </row>
    <row r="45" spans="1:19" ht="13.15" customHeight="1">
      <c r="A45" s="22" t="s">
        <v>1026</v>
      </c>
      <c r="B45" s="23">
        <f t="shared" ref="B45:K45" si="18">$B$15*(1+$B$5)^(B43-1)</f>
        <v>14627.933039937085</v>
      </c>
      <c r="C45" s="23">
        <f t="shared" si="18"/>
        <v>14920.491700735824</v>
      </c>
      <c r="D45" s="23">
        <f t="shared" si="18"/>
        <v>15218.901534750543</v>
      </c>
      <c r="E45" s="23">
        <f t="shared" si="18"/>
        <v>15523.279565445553</v>
      </c>
      <c r="F45" s="23">
        <f t="shared" si="18"/>
        <v>15833.745156754465</v>
      </c>
      <c r="G45" s="23">
        <f t="shared" si="18"/>
        <v>16150.420059889551</v>
      </c>
      <c r="H45" s="23">
        <f t="shared" si="18"/>
        <v>16473.428461087344</v>
      </c>
      <c r="I45" s="23">
        <f t="shared" si="18"/>
        <v>16802.897030309094</v>
      </c>
      <c r="J45" s="23">
        <f t="shared" si="18"/>
        <v>17138.954970915274</v>
      </c>
      <c r="K45" s="24">
        <f t="shared" si="18"/>
        <v>17481.734070333576</v>
      </c>
      <c r="N45" s="3012"/>
      <c r="O45" s="3014"/>
    </row>
    <row r="46" spans="1:19" ht="13.15" customHeight="1">
      <c r="A46" s="22" t="s">
        <v>2422</v>
      </c>
      <c r="B46" s="23">
        <f t="shared" ref="B46:K46" si="19">-(B44+B45)*$B$8</f>
        <v>-55783.037530478483</v>
      </c>
      <c r="C46" s="23">
        <f t="shared" si="19"/>
        <v>-56898.698281088044</v>
      </c>
      <c r="D46" s="23">
        <f t="shared" si="19"/>
        <v>-58036.672246709808</v>
      </c>
      <c r="E46" s="23">
        <f t="shared" si="19"/>
        <v>-59197.405691643995</v>
      </c>
      <c r="F46" s="23">
        <f t="shared" si="19"/>
        <v>-60381.353805476894</v>
      </c>
      <c r="G46" s="23">
        <f t="shared" si="19"/>
        <v>-61588.980881586409</v>
      </c>
      <c r="H46" s="23">
        <f t="shared" si="19"/>
        <v>-62820.760499218144</v>
      </c>
      <c r="I46" s="23">
        <f t="shared" si="19"/>
        <v>-64077.175709202522</v>
      </c>
      <c r="J46" s="23">
        <f t="shared" si="19"/>
        <v>-65358.719223386557</v>
      </c>
      <c r="K46" s="24">
        <f t="shared" si="19"/>
        <v>-66665.89360785429</v>
      </c>
      <c r="N46" s="3012"/>
      <c r="O46" s="3014"/>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12"/>
      <c r="O47" s="3014"/>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12"/>
      <c r="O48" s="3014"/>
    </row>
    <row r="49" spans="1:18" ht="13.15" customHeight="1">
      <c r="A49" s="22" t="s">
        <v>620</v>
      </c>
      <c r="B49" s="23">
        <f t="shared" ref="B49:K49" si="20">$B$19*(1+$B$6)^(B43-1)</f>
        <v>-408800.54776717105</v>
      </c>
      <c r="C49" s="23">
        <f t="shared" si="20"/>
        <v>-421064.56420018617</v>
      </c>
      <c r="D49" s="23">
        <f t="shared" si="20"/>
        <v>-433696.5011261917</v>
      </c>
      <c r="E49" s="23">
        <f t="shared" si="20"/>
        <v>-446707.39615997742</v>
      </c>
      <c r="F49" s="23">
        <f t="shared" si="20"/>
        <v>-460108.61804477678</v>
      </c>
      <c r="G49" s="23">
        <f t="shared" si="20"/>
        <v>-473911.87658612011</v>
      </c>
      <c r="H49" s="23">
        <f t="shared" si="20"/>
        <v>-488129.23288370366</v>
      </c>
      <c r="I49" s="23">
        <f t="shared" si="20"/>
        <v>-502773.10987021477</v>
      </c>
      <c r="J49" s="23">
        <f t="shared" si="20"/>
        <v>-517856.30316632119</v>
      </c>
      <c r="K49" s="24">
        <f t="shared" si="20"/>
        <v>-533391.99226131081</v>
      </c>
      <c r="N49" s="3012"/>
      <c r="O49" s="3014"/>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-59289</v>
      </c>
      <c r="C50" s="23">
        <f>IF(AND('Part VII-Pro Forma'!$G$8="Yes",'Part VII-Pro Forma'!$G$9="Yes"),"Choose One!",IF('Part VII-Pro Forma'!$G$8="Yes",ROUND((-$K$8*(1+'Part VII-Pro Forma'!$B$6)^('Part VII-Pro Forma'!C43-1)),),IF('Part VII-Pro Forma'!$G$9="Yes",ROUND((-(SUM(C44:C47)*'Part VII-Pro Forma'!$K$9)),),"Choose mgt fee")))</f>
        <v>-60475</v>
      </c>
      <c r="D50" s="23">
        <f>IF(AND('Part VII-Pro Forma'!$G$8="Yes",'Part VII-Pro Forma'!$G$9="Yes"),"Choose One!",IF('Part VII-Pro Forma'!$G$8="Yes",ROUND((-$K$8*(1+'Part VII-Pro Forma'!$B$6)^('Part VII-Pro Forma'!D43-1)),),IF('Part VII-Pro Forma'!$G$9="Yes",ROUND((-(SUM(D44:D47)*'Part VII-Pro Forma'!$K$9)),),"Choose mgt fee")))</f>
        <v>-61685</v>
      </c>
      <c r="E50" s="23">
        <f>IF(AND('Part VII-Pro Forma'!$G$8="Yes",'Part VII-Pro Forma'!$G$9="Yes"),"Choose One!",IF('Part VII-Pro Forma'!$G$8="Yes",ROUND((-$K$8*(1+'Part VII-Pro Forma'!$B$6)^('Part VII-Pro Forma'!E43-1)),),IF('Part VII-Pro Forma'!$G$9="Yes",ROUND((-(SUM(E44:E47)*'Part VII-Pro Forma'!$K$9)),),"Choose mgt fee")))</f>
        <v>-62918</v>
      </c>
      <c r="F50" s="23">
        <f>IF(AND('Part VII-Pro Forma'!$G$8="Yes",'Part VII-Pro Forma'!$G$9="Yes"),"Choose One!",IF('Part VII-Pro Forma'!$G$8="Yes",ROUND((-$K$8*(1+'Part VII-Pro Forma'!$B$6)^('Part VII-Pro Forma'!F43-1)),),IF('Part VII-Pro Forma'!$G$9="Yes",ROUND((-(SUM(F44:F47)*'Part VII-Pro Forma'!$K$9)),),"Choose mgt fee")))</f>
        <v>-64177</v>
      </c>
      <c r="G50" s="23">
        <f>IF(AND('Part VII-Pro Forma'!$G$8="Yes",'Part VII-Pro Forma'!$G$9="Yes"),"Choose One!",IF('Part VII-Pro Forma'!$G$8="Yes",ROUND((-$K$8*(1+'Part VII-Pro Forma'!$B$6)^('Part VII-Pro Forma'!G43-1)),),IF('Part VII-Pro Forma'!$G$9="Yes",ROUND((-(SUM(G44:G47)*'Part VII-Pro Forma'!$K$9)),),"Choose mgt fee")))</f>
        <v>-65460</v>
      </c>
      <c r="H50" s="23">
        <f>IF(AND('Part VII-Pro Forma'!$G$8="Yes",'Part VII-Pro Forma'!$G$9="Yes"),"Choose One!",IF('Part VII-Pro Forma'!$G$8="Yes",ROUND((-$K$8*(1+'Part VII-Pro Forma'!$B$6)^('Part VII-Pro Forma'!H43-1)),),IF('Part VII-Pro Forma'!$G$9="Yes",ROUND((-(SUM(H44:H47)*'Part VII-Pro Forma'!$K$9)),),"Choose mgt fee")))</f>
        <v>-66769</v>
      </c>
      <c r="I50" s="23">
        <f>IF(AND('Part VII-Pro Forma'!$G$8="Yes",'Part VII-Pro Forma'!$G$9="Yes"),"Choose One!",IF('Part VII-Pro Forma'!$G$8="Yes",ROUND((-$K$8*(1+'Part VII-Pro Forma'!$B$6)^('Part VII-Pro Forma'!I43-1)),),IF('Part VII-Pro Forma'!$G$9="Yes",ROUND((-(SUM(I44:I47)*'Part VII-Pro Forma'!$K$9)),),"Choose mgt fee")))</f>
        <v>-68105</v>
      </c>
      <c r="J50" s="23">
        <f>IF(AND('Part VII-Pro Forma'!$G$8="Yes",'Part VII-Pro Forma'!$G$9="Yes"),"Choose One!",IF('Part VII-Pro Forma'!$G$8="Yes",ROUND((-$K$8*(1+'Part VII-Pro Forma'!$B$6)^('Part VII-Pro Forma'!J43-1)),),IF('Part VII-Pro Forma'!$G$9="Yes",ROUND((-(SUM(J44:J47)*'Part VII-Pro Forma'!$K$9)),),"Choose mgt fee")))</f>
        <v>-69467</v>
      </c>
      <c r="K50" s="23">
        <f>IF(AND('Part VII-Pro Forma'!$G$8="Yes",'Part VII-Pro Forma'!$G$9="Yes"),"Choose One!",IF('Part VII-Pro Forma'!$G$8="Yes",ROUND((-$K$8*(1+'Part VII-Pro Forma'!$B$6)^('Part VII-Pro Forma'!K43-1)),),IF('Part VII-Pro Forma'!$G$9="Yes",ROUND((-(SUM(K44:K47)*'Part VII-Pro Forma'!$K$9)),),"Choose mgt fee")))</f>
        <v>-70856</v>
      </c>
      <c r="N50" s="3012"/>
      <c r="O50" s="3014"/>
    </row>
    <row r="51" spans="1:18" ht="13.15" customHeight="1">
      <c r="A51" s="22" t="s">
        <v>1214</v>
      </c>
      <c r="B51" s="23">
        <f t="shared" ref="B51:K51" si="21">$B$21*(1+$B$7)^(B43-1)</f>
        <v>-28222.243966226557</v>
      </c>
      <c r="C51" s="23">
        <f t="shared" si="21"/>
        <v>-29068.911285213355</v>
      </c>
      <c r="D51" s="23">
        <f t="shared" si="21"/>
        <v>-29940.978623769752</v>
      </c>
      <c r="E51" s="23">
        <f t="shared" si="21"/>
        <v>-30839.207982482843</v>
      </c>
      <c r="F51" s="23">
        <f t="shared" si="21"/>
        <v>-31764.384221957331</v>
      </c>
      <c r="G51" s="23">
        <f t="shared" si="21"/>
        <v>-32717.315748616053</v>
      </c>
      <c r="H51" s="23">
        <f t="shared" si="21"/>
        <v>-33698.835221074529</v>
      </c>
      <c r="I51" s="23">
        <f t="shared" si="21"/>
        <v>-34709.800277706767</v>
      </c>
      <c r="J51" s="23">
        <f t="shared" si="21"/>
        <v>-35751.094286037966</v>
      </c>
      <c r="K51" s="24">
        <f t="shared" si="21"/>
        <v>-36823.627114619107</v>
      </c>
      <c r="N51" s="3012"/>
      <c r="O51" s="3014"/>
    </row>
    <row r="52" spans="1:18" ht="13.15" customHeight="1">
      <c r="A52" s="22" t="s">
        <v>1215</v>
      </c>
      <c r="B52" s="23">
        <f t="shared" ref="B52:K52" si="22">SUM(B44:B51)</f>
        <v>244805.70688581644</v>
      </c>
      <c r="C52" s="23">
        <f t="shared" si="22"/>
        <v>245331.37310619868</v>
      </c>
      <c r="D52" s="23">
        <f t="shared" si="22"/>
        <v>245736.16581346883</v>
      </c>
      <c r="E52" s="23">
        <f t="shared" si="22"/>
        <v>246015.21433223854</v>
      </c>
      <c r="F52" s="23">
        <f t="shared" si="22"/>
        <v>246159.4125774588</v>
      </c>
      <c r="G52" s="23">
        <f t="shared" si="22"/>
        <v>246164.41080634034</v>
      </c>
      <c r="H52" s="23">
        <f t="shared" si="22"/>
        <v>246021.60709911992</v>
      </c>
      <c r="I52" s="23">
        <f t="shared" si="22"/>
        <v>245723.13856005471</v>
      </c>
      <c r="J52" s="23">
        <f t="shared" si="22"/>
        <v>245262.8722297764</v>
      </c>
      <c r="K52" s="24">
        <f t="shared" si="22"/>
        <v>244632.39569984845</v>
      </c>
      <c r="N52" s="3012"/>
      <c r="O52" s="3014"/>
    </row>
    <row r="53" spans="1:18" ht="13.15" customHeight="1">
      <c r="A53" s="22" t="str">
        <f>$A23</f>
        <v>Mortgage A</v>
      </c>
      <c r="B53" s="2277">
        <f>IF('Part III-Sources of Funds'!$N$37="", 0,-'Part III-Sources of Funds'!$N$37)</f>
        <v>-193325.86052013887</v>
      </c>
      <c r="C53" s="2277">
        <f>IF('Part III-Sources of Funds'!$N$37="", 0,-'Part III-Sources of Funds'!$N$37)</f>
        <v>-193325.86052013887</v>
      </c>
      <c r="D53" s="2277">
        <f>IF('Part III-Sources of Funds'!$N$37="", 0,-'Part III-Sources of Funds'!$N$37)</f>
        <v>-193325.86052013887</v>
      </c>
      <c r="E53" s="2277">
        <f>IF('Part III-Sources of Funds'!$N$37="", 0,-'Part III-Sources of Funds'!$N$37)</f>
        <v>-193325.86052013887</v>
      </c>
      <c r="F53" s="2277">
        <f>IF('Part III-Sources of Funds'!$N$37="", 0,-'Part III-Sources of Funds'!$N$37)</f>
        <v>-193325.86052013887</v>
      </c>
      <c r="G53" s="2277">
        <f>IF('Part III-Sources of Funds'!$N$37="", 0,-'Part III-Sources of Funds'!$N$37)</f>
        <v>-193325.86052013887</v>
      </c>
      <c r="H53" s="2277">
        <f>IF('Part III-Sources of Funds'!$N$37="", 0,-'Part III-Sources of Funds'!$N$37)</f>
        <v>-193325.86052013887</v>
      </c>
      <c r="I53" s="2277">
        <f>IF('Part III-Sources of Funds'!$N$37="", 0,-'Part III-Sources of Funds'!$N$37)</f>
        <v>-193325.86052013887</v>
      </c>
      <c r="J53" s="2277">
        <f>IF('Part III-Sources of Funds'!$N$37="", 0,-'Part III-Sources of Funds'!$N$37)</f>
        <v>-193325.86052013887</v>
      </c>
      <c r="K53" s="2277">
        <f>IF('Part III-Sources of Funds'!$N$37="", 0,-'Part III-Sources of Funds'!$N$37)</f>
        <v>-193325.86052013887</v>
      </c>
      <c r="N53" s="3012"/>
      <c r="O53" s="3014"/>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12"/>
      <c r="O54" s="3014"/>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12"/>
      <c r="O55" s="3014"/>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12"/>
      <c r="O56" s="3014"/>
    </row>
    <row r="57" spans="1:18" ht="13.15" customHeight="1">
      <c r="A57" s="22" t="s">
        <v>771</v>
      </c>
      <c r="B57" s="2279"/>
      <c r="C57" s="2279"/>
      <c r="D57" s="2279"/>
      <c r="E57" s="2279"/>
      <c r="F57" s="2279"/>
      <c r="G57" s="2279"/>
      <c r="H57" s="2279"/>
      <c r="I57" s="2279"/>
      <c r="J57" s="2279"/>
      <c r="K57" s="2279"/>
      <c r="N57" s="3012"/>
      <c r="O57" s="3014"/>
    </row>
    <row r="58" spans="1:18" ht="13.15" customHeight="1">
      <c r="A58" s="435" t="s">
        <v>1174</v>
      </c>
      <c r="B58" s="2284">
        <f>(+K28*0.03)+K28</f>
        <v>-6047.6237070485495</v>
      </c>
      <c r="C58" s="2278">
        <f>(+B58*0.03)+B58</f>
        <v>-6229.0524182600057</v>
      </c>
      <c r="D58" s="2284">
        <f>(+C58*0.03)+C58</f>
        <v>-6415.9239908078061</v>
      </c>
      <c r="E58" s="2278">
        <f>(+D58*0.03)+D58</f>
        <v>-6608.4017105320399</v>
      </c>
      <c r="F58" s="2284">
        <f>(+E58*0.03)+E58</f>
        <v>-6806.6537618480015</v>
      </c>
      <c r="G58" s="2278"/>
      <c r="H58" s="2278">
        <f t="shared" ref="H58:K58" si="23">+G58</f>
        <v>0</v>
      </c>
      <c r="I58" s="2278">
        <f t="shared" si="23"/>
        <v>0</v>
      </c>
      <c r="J58" s="2278">
        <f t="shared" si="23"/>
        <v>0</v>
      </c>
      <c r="K58" s="2278">
        <f t="shared" si="23"/>
        <v>0</v>
      </c>
      <c r="N58" s="3012"/>
      <c r="O58" s="3014"/>
      <c r="Q58" s="1040"/>
      <c r="R58" s="1197"/>
    </row>
    <row r="59" spans="1:18" ht="13.15" customHeight="1">
      <c r="A59" s="435" t="s">
        <v>4131</v>
      </c>
      <c r="B59" s="2282">
        <v>-35237</v>
      </c>
      <c r="C59" s="2282">
        <f>B59</f>
        <v>-35237</v>
      </c>
      <c r="D59" s="2282">
        <f>C59</f>
        <v>-35237</v>
      </c>
      <c r="E59" s="2282">
        <f>D59</f>
        <v>-35237</v>
      </c>
      <c r="F59" s="2282"/>
      <c r="G59" s="2282"/>
      <c r="H59" s="2282"/>
      <c r="I59" s="2282"/>
      <c r="J59" s="2282"/>
      <c r="K59" s="2282"/>
      <c r="N59" s="3012"/>
      <c r="O59" s="3014"/>
    </row>
    <row r="60" spans="1:18" ht="13.15" customHeight="1">
      <c r="A60" s="22" t="s">
        <v>1175</v>
      </c>
      <c r="B60" s="23">
        <f>SUM(B52:B59)</f>
        <v>10195.22265862902</v>
      </c>
      <c r="C60" s="23">
        <f t="shared" ref="C60:K60" si="24">SUM(C52:C59)</f>
        <v>10539.4601677998</v>
      </c>
      <c r="D60" s="23">
        <f t="shared" si="24"/>
        <v>10757.381302522153</v>
      </c>
      <c r="E60" s="23">
        <f t="shared" si="24"/>
        <v>10843.952101567629</v>
      </c>
      <c r="F60" s="23">
        <f t="shared" si="24"/>
        <v>46026.898295471932</v>
      </c>
      <c r="G60" s="23">
        <f t="shared" si="24"/>
        <v>52838.550286201469</v>
      </c>
      <c r="H60" s="23">
        <f t="shared" si="24"/>
        <v>52695.746578981052</v>
      </c>
      <c r="I60" s="23">
        <f t="shared" si="24"/>
        <v>52397.278039915836</v>
      </c>
      <c r="J60" s="23">
        <f t="shared" si="24"/>
        <v>51937.011709637532</v>
      </c>
      <c r="K60" s="23">
        <f t="shared" si="24"/>
        <v>51306.535179709579</v>
      </c>
      <c r="N60" s="3012"/>
      <c r="O60" s="3014"/>
    </row>
    <row r="61" spans="1:18" ht="13.15" customHeight="1">
      <c r="A61" s="22" t="str">
        <f>$A31</f>
        <v>DCR Mortgage A</v>
      </c>
      <c r="B61" s="25">
        <f t="shared" ref="B61:K61" si="25">IF(B53=0,"",-B52/B53)</f>
        <v>1.266285359998772</v>
      </c>
      <c r="C61" s="25">
        <f t="shared" si="25"/>
        <v>1.2690044283063846</v>
      </c>
      <c r="D61" s="25">
        <f t="shared" si="25"/>
        <v>1.2710982646207869</v>
      </c>
      <c r="E61" s="25">
        <f t="shared" si="25"/>
        <v>1.2725416748196032</v>
      </c>
      <c r="F61" s="25">
        <f t="shared" si="25"/>
        <v>1.2732875566423056</v>
      </c>
      <c r="G61" s="25">
        <f t="shared" si="25"/>
        <v>1.2733134105496313</v>
      </c>
      <c r="H61" s="25">
        <f t="shared" si="25"/>
        <v>1.2725747421333304</v>
      </c>
      <c r="I61" s="25">
        <f t="shared" si="25"/>
        <v>1.271030879670946</v>
      </c>
      <c r="J61" s="25">
        <f t="shared" si="25"/>
        <v>1.2686500997326595</v>
      </c>
      <c r="K61" s="26">
        <f t="shared" si="25"/>
        <v>1.2653888881791111</v>
      </c>
      <c r="N61" s="3012"/>
      <c r="O61" s="3014"/>
    </row>
    <row r="62" spans="1:18" ht="13.15" customHeight="1">
      <c r="A62" s="22" t="str">
        <f>$A32</f>
        <v>DCR Mortgage B</v>
      </c>
      <c r="B62" s="25" t="str">
        <f t="shared" ref="B62:K62" si="26">IF(B54=0,"",-(B52+B53)/B54)</f>
        <v/>
      </c>
      <c r="C62" s="25" t="str">
        <f t="shared" si="26"/>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N62" s="3012"/>
      <c r="O62" s="3014"/>
    </row>
    <row r="63" spans="1:18" ht="13.15" customHeight="1">
      <c r="A63" s="22" t="str">
        <f>$A33</f>
        <v>DCR Mortgage C</v>
      </c>
      <c r="B63" s="25" t="str">
        <f t="shared" ref="B63:K63" si="27">IF(B55=0,"",-(B52+B53+B54)/B55)</f>
        <v/>
      </c>
      <c r="C63" s="25" t="str">
        <f t="shared" si="27"/>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N63" s="3012"/>
      <c r="O63" s="3014"/>
    </row>
    <row r="64" spans="1:18" ht="13.15" customHeight="1">
      <c r="A64" s="22" t="str">
        <f>$A34</f>
        <v>DCR Other Source</v>
      </c>
      <c r="B64" s="25" t="str">
        <f t="shared" ref="B64:K64" si="28">IF(B56=0,"",-(B52+B53+B54+B55)/B56)</f>
        <v/>
      </c>
      <c r="C64" s="25" t="str">
        <f t="shared" si="28"/>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N64" s="3012"/>
      <c r="O64" s="3014"/>
    </row>
    <row r="65" spans="1:15" ht="13.15" customHeight="1">
      <c r="A65" s="435" t="s">
        <v>3741</v>
      </c>
      <c r="B65" s="25">
        <f t="shared" ref="B65:K65" si="29">IF(AND(B53=0,B54=0,B55=0,B56=0),"",-B52/(B53+B54+B55+B56))</f>
        <v>1.266285359998772</v>
      </c>
      <c r="C65" s="25">
        <f t="shared" si="29"/>
        <v>1.2690044283063846</v>
      </c>
      <c r="D65" s="25">
        <f t="shared" si="29"/>
        <v>1.2710982646207869</v>
      </c>
      <c r="E65" s="25">
        <f t="shared" si="29"/>
        <v>1.2725416748196032</v>
      </c>
      <c r="F65" s="25">
        <f t="shared" si="29"/>
        <v>1.2732875566423056</v>
      </c>
      <c r="G65" s="25">
        <f t="shared" si="29"/>
        <v>1.2733134105496313</v>
      </c>
      <c r="H65" s="25">
        <f t="shared" si="29"/>
        <v>1.2725747421333304</v>
      </c>
      <c r="I65" s="25">
        <f t="shared" si="29"/>
        <v>1.271030879670946</v>
      </c>
      <c r="J65" s="25">
        <f t="shared" si="29"/>
        <v>1.2686500997326595</v>
      </c>
      <c r="K65" s="26">
        <f t="shared" si="29"/>
        <v>1.2653888881791111</v>
      </c>
      <c r="N65" s="3012"/>
      <c r="O65" s="3014"/>
    </row>
    <row r="66" spans="1:15" ht="13.15" customHeight="1">
      <c r="A66" s="22" t="s">
        <v>778</v>
      </c>
      <c r="B66" s="274">
        <f t="shared" ref="B66:K66" si="30">IF(OR(B50="Choose mgt fee",B50="Choose One!"),"",(B44+B45+B46+B47+B48) / -(B49+B50+B51))</f>
        <v>1.4932498299724419</v>
      </c>
      <c r="C66" s="274">
        <f t="shared" si="30"/>
        <v>1.4804686660811484</v>
      </c>
      <c r="D66" s="274">
        <f t="shared" si="30"/>
        <v>1.4677815537808934</v>
      </c>
      <c r="E66" s="274">
        <f t="shared" si="30"/>
        <v>1.4551920929633937</v>
      </c>
      <c r="F66" s="274">
        <f t="shared" si="30"/>
        <v>1.4426929441129244</v>
      </c>
      <c r="G66" s="274">
        <f t="shared" si="30"/>
        <v>1.4302902661064547</v>
      </c>
      <c r="H66" s="274">
        <f t="shared" si="30"/>
        <v>1.417979667977763</v>
      </c>
      <c r="I66" s="274">
        <f t="shared" si="30"/>
        <v>1.4057596501555556</v>
      </c>
      <c r="J66" s="274">
        <f t="shared" si="30"/>
        <v>1.3936333658269586</v>
      </c>
      <c r="K66" s="275">
        <f t="shared" si="30"/>
        <v>1.381599166623525</v>
      </c>
      <c r="N66" s="3012"/>
      <c r="O66" s="3014"/>
    </row>
    <row r="67" spans="1:15" ht="13.15" customHeight="1">
      <c r="A67" s="435" t="s">
        <v>2635</v>
      </c>
      <c r="B67" s="2283">
        <f>IF('Part III-Sources of Funds'!$I$37="","",-FV('Part III-Sources of Funds'!$K$37/12,12,B53/12,K37))</f>
        <v>2573194.8259856515</v>
      </c>
      <c r="C67" s="2283">
        <f>IF('Part III-Sources of Funds'!$I$37="","",-FV('Part III-Sources of Funds'!$K$37/12,12,C53/12,B67))</f>
        <v>2520068.728672205</v>
      </c>
      <c r="D67" s="2283">
        <f>IF('Part III-Sources of Funds'!$I$37="","",-FV('Part III-Sources of Funds'!$K$37/12,12,D53/12,C67))</f>
        <v>2463945.9018786731</v>
      </c>
      <c r="E67" s="2283">
        <f>IF('Part III-Sources of Funds'!$I$37="","",-FV('Part III-Sources of Funds'!$K$37/12,12,E53/12,D67))</f>
        <v>2404657.3065069304</v>
      </c>
      <c r="F67" s="2283">
        <f>IF('Part III-Sources of Funds'!$I$37="","",-FV('Part III-Sources of Funds'!$K$37/12,12,F53/12,E67))</f>
        <v>2342024.3683250039</v>
      </c>
      <c r="G67" s="2283">
        <f>IF('Part III-Sources of Funds'!$I$37="","",-FV('Part III-Sources of Funds'!$K$37/12,12,G53/12,F67))</f>
        <v>2275858.4401105754</v>
      </c>
      <c r="H67" s="2283">
        <f>IF('Part III-Sources of Funds'!$I$37="","",-FV('Part III-Sources of Funds'!$K$37/12,12,H53/12,G67))</f>
        <v>2205960.2334551481</v>
      </c>
      <c r="I67" s="2283">
        <f>IF('Part III-Sources of Funds'!$I$37="","",-FV('Part III-Sources of Funds'!$K$37/12,12,I53/12,H67))</f>
        <v>2132119.2185175018</v>
      </c>
      <c r="J67" s="2283">
        <f>IF('Part III-Sources of Funds'!$I$37="","",-FV('Part III-Sources of Funds'!$K$37/12,12,J53/12,I67))</f>
        <v>2054112.989918527</v>
      </c>
      <c r="K67" s="2283">
        <f>IF('Part III-Sources of Funds'!$I$37="","",-FV('Part III-Sources of Funds'!$K$37/12,12,K53/12,J67))</f>
        <v>1971706.5968675392</v>
      </c>
      <c r="N67" s="3012"/>
      <c r="O67" s="3014"/>
    </row>
    <row r="68" spans="1:15" ht="13.15" customHeight="1">
      <c r="A68" s="435" t="s">
        <v>2636</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12"/>
      <c r="O68" s="3014"/>
    </row>
    <row r="69" spans="1:15" ht="13.15" customHeight="1">
      <c r="A69" s="435" t="s">
        <v>2637</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12"/>
      <c r="O69" s="3014"/>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12"/>
      <c r="O70" s="3014"/>
    </row>
    <row r="71" spans="1:15" ht="13.15" customHeight="1">
      <c r="A71" s="435" t="s">
        <v>4132</v>
      </c>
      <c r="B71" s="2282">
        <f>IF('Part III-Sources of Funds'!$I$42="","",IF(-FV('Part III-Sources of Funds'!$K$42/12,12,B59/12,K41)&gt;0,-FV('Part III-Sources of Funds'!$K$42/12,12,B59/12,K41),0))</f>
        <v>114901.99955065965</v>
      </c>
      <c r="C71" s="2282">
        <f>IF('Part III-Sources of Funds'!$I$42="","",IF(-FV('Part III-Sources of Funds'!$K$42/12,12,C59/12,B71)&gt;0,-FV('Part III-Sources of Funds'!$K$42/12,12,C59/12,B71),0))</f>
        <v>84724.768004904661</v>
      </c>
      <c r="D71" s="2282">
        <f>IF('Part III-Sources of Funds'!$I$42="","",IF(-FV('Part III-Sources of Funds'!$K$42/12,12,D59/12,C71)&gt;0,-FV('Part III-Sources of Funds'!$K$42/12,12,D59/12,C71),0))</f>
        <v>53003.612020452347</v>
      </c>
      <c r="E71" s="2282">
        <f>IF('Part III-Sources of Funds'!$I$42="","",IF(-FV('Part III-Sources of Funds'!$K$42/12,12,E59/12,D71)&gt;0,-FV('Part III-Sources of Funds'!$K$42/12,12,E59/12,D71),0))</f>
        <v>19659.541492832941</v>
      </c>
      <c r="F71" s="2282">
        <f>IF('Part III-Sources of Funds'!$I$42="","",IF(-FV('Part III-Sources of Funds'!$K$42/12,12,F59/12,E71)&gt;0,-FV('Part III-Sources of Funds'!$K$42/12,12,F59/12,E71),0))</f>
        <v>20665.360947090961</v>
      </c>
      <c r="G71" s="2282">
        <f>IF('Part III-Sources of Funds'!$I$42="","",IF(-FV('Part III-Sources of Funds'!$K$42/12,12,G59/12,F71)&gt;0,-FV('Part III-Sources of Funds'!$K$42/12,12,G59/12,F71),0))</f>
        <v>21722.640033555192</v>
      </c>
      <c r="H71" s="2282" t="str">
        <f>IF('Part III-Sources of Funds'!$I$40="","",-FV('Part III-Sources of Funds'!$K$40/12,12,H57/12,G71))</f>
        <v/>
      </c>
      <c r="I71" s="2282" t="str">
        <f>IF('Part III-Sources of Funds'!$I$40="","",-FV('Part III-Sources of Funds'!$K$40/12,12,I57/12,H71))</f>
        <v/>
      </c>
      <c r="J71" s="2282" t="str">
        <f>IF('Part III-Sources of Funds'!$I$40="","",-FV('Part III-Sources of Funds'!$K$40/12,12,J57/12,I71))</f>
        <v/>
      </c>
      <c r="K71" s="2282" t="str">
        <f>IF('Part III-Sources of Funds'!$I$40="","",-FV('Part III-Sources of Funds'!$K$40/12,12,K57/12,J71))</f>
        <v/>
      </c>
      <c r="N71" s="3009"/>
      <c r="O71" s="3011"/>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N73" s="2773" t="s">
        <v>2641</v>
      </c>
      <c r="O73" s="2773"/>
    </row>
    <row r="74" spans="1:15" ht="13.15" customHeight="1">
      <c r="A74" s="19" t="s">
        <v>2421</v>
      </c>
      <c r="B74" s="20">
        <f t="shared" ref="B74:K74" si="32">$B$14*(1+$B$5)^(B73-1)</f>
        <v>953585.93810556515</v>
      </c>
      <c r="C74" s="20">
        <f t="shared" si="32"/>
        <v>972657.65686767641</v>
      </c>
      <c r="D74" s="20">
        <f t="shared" si="32"/>
        <v>992110.8100050299</v>
      </c>
      <c r="E74" s="20">
        <f t="shared" si="32"/>
        <v>1011953.0262051304</v>
      </c>
      <c r="F74" s="20">
        <f t="shared" si="32"/>
        <v>1032192.086729233</v>
      </c>
      <c r="G74" s="20">
        <f t="shared" si="32"/>
        <v>1052835.9284638176</v>
      </c>
      <c r="H74" s="20">
        <f t="shared" si="32"/>
        <v>1073892.6470330942</v>
      </c>
      <c r="I74" s="20">
        <f t="shared" si="32"/>
        <v>1095370.4999737558</v>
      </c>
      <c r="J74" s="20">
        <f t="shared" si="32"/>
        <v>1117277.9099732311</v>
      </c>
      <c r="K74" s="21">
        <f t="shared" si="32"/>
        <v>1139623.4681726957</v>
      </c>
      <c r="N74" s="3016"/>
      <c r="O74" s="3018"/>
    </row>
    <row r="75" spans="1:15" ht="13.15" customHeight="1">
      <c r="A75" s="22" t="s">
        <v>1026</v>
      </c>
      <c r="B75" s="23">
        <f t="shared" ref="B75:K75" si="33">$B$15*(1+$B$5)^(B73-1)</f>
        <v>17831.36875174025</v>
      </c>
      <c r="C75" s="23">
        <f t="shared" si="33"/>
        <v>18187.996126775055</v>
      </c>
      <c r="D75" s="23">
        <f t="shared" si="33"/>
        <v>18551.756049310556</v>
      </c>
      <c r="E75" s="23">
        <f t="shared" si="33"/>
        <v>18922.791170296765</v>
      </c>
      <c r="F75" s="23">
        <f t="shared" si="33"/>
        <v>19301.246993702702</v>
      </c>
      <c r="G75" s="23">
        <f t="shared" si="33"/>
        <v>19687.271933576754</v>
      </c>
      <c r="H75" s="23">
        <f t="shared" si="33"/>
        <v>20081.01737224829</v>
      </c>
      <c r="I75" s="23">
        <f t="shared" si="33"/>
        <v>20482.637719693255</v>
      </c>
      <c r="J75" s="23">
        <f t="shared" si="33"/>
        <v>20892.290474087124</v>
      </c>
      <c r="K75" s="24">
        <f t="shared" si="33"/>
        <v>21310.136283568863</v>
      </c>
      <c r="N75" s="3012"/>
      <c r="O75" s="3014"/>
    </row>
    <row r="76" spans="1:15" ht="13.15" customHeight="1">
      <c r="A76" s="22" t="s">
        <v>2422</v>
      </c>
      <c r="B76" s="23">
        <f t="shared" ref="B76:K76" si="34">-(B74+B75)*$B$8</f>
        <v>-67999.211480011378</v>
      </c>
      <c r="C76" s="23">
        <f t="shared" si="34"/>
        <v>-69359.195709611609</v>
      </c>
      <c r="D76" s="23">
        <f t="shared" si="34"/>
        <v>-70746.379623803834</v>
      </c>
      <c r="E76" s="23">
        <f t="shared" si="34"/>
        <v>-72161.307216279907</v>
      </c>
      <c r="F76" s="23">
        <f t="shared" si="34"/>
        <v>-73604.533360605506</v>
      </c>
      <c r="G76" s="23">
        <f t="shared" si="34"/>
        <v>-75076.624027817612</v>
      </c>
      <c r="H76" s="23">
        <f t="shared" si="34"/>
        <v>-76578.156508373984</v>
      </c>
      <c r="I76" s="23">
        <f t="shared" si="34"/>
        <v>-78109.719638541443</v>
      </c>
      <c r="J76" s="23">
        <f t="shared" si="34"/>
        <v>-79671.914031312292</v>
      </c>
      <c r="K76" s="24">
        <f t="shared" si="34"/>
        <v>-81265.352311938521</v>
      </c>
      <c r="N76" s="3012"/>
      <c r="O76" s="3014"/>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12"/>
      <c r="O77" s="3014"/>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12"/>
      <c r="O78" s="3014"/>
    </row>
    <row r="79" spans="1:15" ht="13.15" customHeight="1">
      <c r="A79" s="22" t="s">
        <v>620</v>
      </c>
      <c r="B79" s="23">
        <f t="shared" ref="B79:K79" si="35">$B$19*(1+$B$6)^(B73-1)</f>
        <v>-549393.75202915014</v>
      </c>
      <c r="C79" s="23">
        <f t="shared" si="35"/>
        <v>-565875.56459002453</v>
      </c>
      <c r="D79" s="23">
        <f t="shared" si="35"/>
        <v>-582851.83152772533</v>
      </c>
      <c r="E79" s="23">
        <f t="shared" si="35"/>
        <v>-600337.38647355721</v>
      </c>
      <c r="F79" s="23">
        <f t="shared" si="35"/>
        <v>-618347.50806776376</v>
      </c>
      <c r="G79" s="23">
        <f t="shared" si="35"/>
        <v>-636897.93330979673</v>
      </c>
      <c r="H79" s="23">
        <f t="shared" si="35"/>
        <v>-656004.87130909064</v>
      </c>
      <c r="I79" s="23">
        <f t="shared" si="35"/>
        <v>-675685.01744836336</v>
      </c>
      <c r="J79" s="23">
        <f t="shared" si="35"/>
        <v>-695955.56797181419</v>
      </c>
      <c r="K79" s="24">
        <f t="shared" si="35"/>
        <v>-716834.23501096864</v>
      </c>
      <c r="N79" s="3012"/>
      <c r="O79" s="3014"/>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-72273</v>
      </c>
      <c r="C80" s="23">
        <f>IF(AND('Part VII-Pro Forma'!$G$8="Yes",'Part VII-Pro Forma'!$G$9="Yes"),"Choose One!",IF('Part VII-Pro Forma'!$G$8="Yes",ROUND((-$K$8*(1+'Part VII-Pro Forma'!$B$6)^('Part VII-Pro Forma'!C73-1)),),IF('Part VII-Pro Forma'!$G$9="Yes",ROUND((-(SUM(C74:C77)*'Part VII-Pro Forma'!$K$9)),),"Choose mgt fee")))</f>
        <v>-73719</v>
      </c>
      <c r="D80" s="23">
        <f>IF(AND('Part VII-Pro Forma'!$G$8="Yes",'Part VII-Pro Forma'!$G$9="Yes"),"Choose One!",IF('Part VII-Pro Forma'!$G$8="Yes",ROUND((-$K$8*(1+'Part VII-Pro Forma'!$B$6)^('Part VII-Pro Forma'!D73-1)),),IF('Part VII-Pro Forma'!$G$9="Yes",ROUND((-(SUM(D74:D77)*'Part VII-Pro Forma'!$K$9)),),"Choose mgt fee")))</f>
        <v>-75193</v>
      </c>
      <c r="E80" s="23">
        <f>IF(AND('Part VII-Pro Forma'!$G$8="Yes",'Part VII-Pro Forma'!$G$9="Yes"),"Choose One!",IF('Part VII-Pro Forma'!$G$8="Yes",ROUND((-$K$8*(1+'Part VII-Pro Forma'!$B$6)^('Part VII-Pro Forma'!E73-1)),),IF('Part VII-Pro Forma'!$G$9="Yes",ROUND((-(SUM(E74:E77)*'Part VII-Pro Forma'!$K$9)),),"Choose mgt fee")))</f>
        <v>-76697</v>
      </c>
      <c r="F80" s="23">
        <f>IF(AND('Part VII-Pro Forma'!$G$8="Yes",'Part VII-Pro Forma'!$G$9="Yes"),"Choose One!",IF('Part VII-Pro Forma'!$G$8="Yes",ROUND((-$K$8*(1+'Part VII-Pro Forma'!$B$6)^('Part VII-Pro Forma'!F73-1)),),IF('Part VII-Pro Forma'!$G$9="Yes",ROUND((-(SUM(F74:F77)*'Part VII-Pro Forma'!$K$9)),),"Choose mgt fee")))</f>
        <v>-78231</v>
      </c>
      <c r="G80" s="23">
        <f>IF(AND('Part VII-Pro Forma'!$G$8="Yes",'Part VII-Pro Forma'!$G$9="Yes"),"Choose One!",IF('Part VII-Pro Forma'!$G$8="Yes",ROUND((-$K$8*(1+'Part VII-Pro Forma'!$B$6)^('Part VII-Pro Forma'!G73-1)),),IF('Part VII-Pro Forma'!$G$9="Yes",ROUND((-(SUM(G74:G77)*'Part VII-Pro Forma'!$K$9)),),"Choose mgt fee")))</f>
        <v>-79796</v>
      </c>
      <c r="H80" s="23">
        <f>IF(AND('Part VII-Pro Forma'!$G$8="Yes",'Part VII-Pro Forma'!$G$9="Yes"),"Choose One!",IF('Part VII-Pro Forma'!$G$8="Yes",ROUND((-$K$8*(1+'Part VII-Pro Forma'!$B$6)^('Part VII-Pro Forma'!H73-1)),),IF('Part VII-Pro Forma'!$G$9="Yes",ROUND((-(SUM(H74:H77)*'Part VII-Pro Forma'!$K$9)),),"Choose mgt fee")))</f>
        <v>-81392</v>
      </c>
      <c r="I80" s="23">
        <f>IF(AND('Part VII-Pro Forma'!$G$8="Yes",'Part VII-Pro Forma'!$G$9="Yes"),"Choose One!",IF('Part VII-Pro Forma'!$G$8="Yes",ROUND((-$K$8*(1+'Part VII-Pro Forma'!$B$6)^('Part VII-Pro Forma'!I73-1)),),IF('Part VII-Pro Forma'!$G$9="Yes",ROUND((-(SUM(I74:I77)*'Part VII-Pro Forma'!$K$9)),),"Choose mgt fee")))</f>
        <v>-83019</v>
      </c>
      <c r="J80" s="23">
        <f>IF(AND('Part VII-Pro Forma'!$G$8="Yes",'Part VII-Pro Forma'!$G$9="Yes"),"Choose One!",IF('Part VII-Pro Forma'!$G$8="Yes",ROUND((-$K$8*(1+'Part VII-Pro Forma'!$B$6)^('Part VII-Pro Forma'!J73-1)),),IF('Part VII-Pro Forma'!$G$9="Yes",ROUND((-(SUM(J74:J77)*'Part VII-Pro Forma'!$K$9)),),"Choose mgt fee")))</f>
        <v>-84680</v>
      </c>
      <c r="K80" s="23">
        <f>IF(AND('Part VII-Pro Forma'!$G$8="Yes",'Part VII-Pro Forma'!$G$9="Yes"),"Choose One!",IF('Part VII-Pro Forma'!$G$8="Yes",ROUND((-$K$8*(1+'Part VII-Pro Forma'!$B$6)^('Part VII-Pro Forma'!K73-1)),),IF('Part VII-Pro Forma'!$G$9="Yes",ROUND((-(SUM(K74:K77)*'Part VII-Pro Forma'!$K$9)),),"Choose mgt fee")))</f>
        <v>-86373</v>
      </c>
      <c r="N80" s="3012"/>
      <c r="O80" s="3014"/>
    </row>
    <row r="81" spans="1:15" ht="13.15" customHeight="1">
      <c r="A81" s="22" t="s">
        <v>1214</v>
      </c>
      <c r="B81" s="23">
        <f t="shared" ref="B81:K81" si="36">$B$21*(1+$B$7)^(B73-1)</f>
        <v>-37928.335928057677</v>
      </c>
      <c r="C81" s="23">
        <f t="shared" si="36"/>
        <v>-39066.186005899406</v>
      </c>
      <c r="D81" s="23">
        <f t="shared" si="36"/>
        <v>-40238.171586076387</v>
      </c>
      <c r="E81" s="23">
        <f t="shared" si="36"/>
        <v>-41445.316733658685</v>
      </c>
      <c r="F81" s="23">
        <f t="shared" si="36"/>
        <v>-42688.676235668441</v>
      </c>
      <c r="G81" s="23">
        <f t="shared" si="36"/>
        <v>-43969.336522738493</v>
      </c>
      <c r="H81" s="23">
        <f t="shared" si="36"/>
        <v>-45288.416618420655</v>
      </c>
      <c r="I81" s="23">
        <f t="shared" si="36"/>
        <v>-46647.069116973267</v>
      </c>
      <c r="J81" s="23">
        <f t="shared" si="36"/>
        <v>-48046.481190482467</v>
      </c>
      <c r="K81" s="24">
        <f t="shared" si="36"/>
        <v>-49487.875626196932</v>
      </c>
      <c r="N81" s="3012"/>
      <c r="O81" s="3014"/>
    </row>
    <row r="82" spans="1:15" ht="13.15" customHeight="1">
      <c r="A82" s="22" t="s">
        <v>1215</v>
      </c>
      <c r="B82" s="23">
        <f t="shared" ref="B82:K82" si="37">SUM(B74:B81)</f>
        <v>243823.00742008619</v>
      </c>
      <c r="C82" s="23">
        <f t="shared" si="37"/>
        <v>242825.7066889159</v>
      </c>
      <c r="D82" s="23">
        <f t="shared" si="37"/>
        <v>241633.18331673497</v>
      </c>
      <c r="E82" s="23">
        <f t="shared" si="37"/>
        <v>240234.8069519313</v>
      </c>
      <c r="F82" s="23">
        <f t="shared" si="37"/>
        <v>238621.61605889807</v>
      </c>
      <c r="G82" s="23">
        <f t="shared" si="37"/>
        <v>236783.3065370415</v>
      </c>
      <c r="H82" s="23">
        <f t="shared" si="37"/>
        <v>234710.2199694571</v>
      </c>
      <c r="I82" s="23">
        <f t="shared" si="37"/>
        <v>232392.33148957108</v>
      </c>
      <c r="J82" s="23">
        <f t="shared" si="37"/>
        <v>229816.23725370938</v>
      </c>
      <c r="K82" s="24">
        <f t="shared" si="37"/>
        <v>226973.14150716041</v>
      </c>
      <c r="N82" s="3012"/>
      <c r="O82" s="3014"/>
    </row>
    <row r="83" spans="1:15" ht="13.15" customHeight="1">
      <c r="A83" s="22" t="str">
        <f>$A53</f>
        <v>Mortgage A</v>
      </c>
      <c r="B83" s="2277">
        <f>IF('Part III-Sources of Funds'!$N$37="", 0,-'Part III-Sources of Funds'!$N$37)</f>
        <v>-193325.86052013887</v>
      </c>
      <c r="C83" s="2277">
        <f>IF('Part III-Sources of Funds'!$N$37="", 0,-'Part III-Sources of Funds'!$N$37)</f>
        <v>-193325.86052013887</v>
      </c>
      <c r="D83" s="2277">
        <f>IF('Part III-Sources of Funds'!$N$37="", 0,-'Part III-Sources of Funds'!$N$37)</f>
        <v>-193325.86052013887</v>
      </c>
      <c r="E83" s="2277">
        <f>IF('Part III-Sources of Funds'!$N$37="", 0,-'Part III-Sources of Funds'!$N$37)</f>
        <v>-193325.86052013887</v>
      </c>
      <c r="F83" s="2277">
        <f>IF('Part III-Sources of Funds'!$N$37="", 0,-'Part III-Sources of Funds'!$N$37)</f>
        <v>-193325.86052013887</v>
      </c>
      <c r="G83" s="2277">
        <f>IF('Part III-Sources of Funds'!$N$37="", 0,-'Part III-Sources of Funds'!$N$37)</f>
        <v>-193325.86052013887</v>
      </c>
      <c r="H83" s="2277">
        <f>IF('Part III-Sources of Funds'!$N$37="", 0,-'Part III-Sources of Funds'!$N$37)</f>
        <v>-193325.86052013887</v>
      </c>
      <c r="I83" s="2277">
        <f>IF('Part III-Sources of Funds'!$N$37="", 0,-'Part III-Sources of Funds'!$N$37)</f>
        <v>-193325.86052013887</v>
      </c>
      <c r="J83" s="2277">
        <f>IF('Part III-Sources of Funds'!$N$37="", 0,-'Part III-Sources of Funds'!$N$37)</f>
        <v>-193325.86052013887</v>
      </c>
      <c r="K83" s="2277">
        <f>IF('Part III-Sources of Funds'!$N$37="", 0,-'Part III-Sources of Funds'!$N$37)</f>
        <v>-193325.86052013887</v>
      </c>
      <c r="N83" s="3012"/>
      <c r="O83" s="3014"/>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12"/>
      <c r="O84" s="3014"/>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12"/>
      <c r="O85" s="3014"/>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12"/>
      <c r="O86" s="3014"/>
    </row>
    <row r="87" spans="1:15" ht="13.15" customHeight="1">
      <c r="A87" s="22" t="s">
        <v>771</v>
      </c>
      <c r="B87" s="2279"/>
      <c r="C87" s="2279"/>
      <c r="D87" s="2279"/>
      <c r="E87" s="2279"/>
      <c r="F87" s="2279"/>
      <c r="G87" s="2279"/>
      <c r="H87" s="2279"/>
      <c r="I87" s="2279"/>
      <c r="J87" s="2279"/>
      <c r="K87" s="2279"/>
      <c r="N87" s="3012"/>
      <c r="O87" s="3014"/>
    </row>
    <row r="88" spans="1:15" ht="13.15" customHeight="1">
      <c r="A88" s="435" t="s">
        <v>1174</v>
      </c>
      <c r="B88" s="2282">
        <f>+K58</f>
        <v>0</v>
      </c>
      <c r="C88" s="2282">
        <f t="shared" ref="C88:K88" si="38">+B88</f>
        <v>0</v>
      </c>
      <c r="D88" s="2282">
        <f t="shared" si="38"/>
        <v>0</v>
      </c>
      <c r="E88" s="2282">
        <f t="shared" si="38"/>
        <v>0</v>
      </c>
      <c r="F88" s="2282">
        <f t="shared" si="38"/>
        <v>0</v>
      </c>
      <c r="G88" s="2282">
        <f t="shared" si="38"/>
        <v>0</v>
      </c>
      <c r="H88" s="2282">
        <f t="shared" si="38"/>
        <v>0</v>
      </c>
      <c r="I88" s="2282">
        <f t="shared" si="38"/>
        <v>0</v>
      </c>
      <c r="J88" s="2282">
        <f t="shared" si="38"/>
        <v>0</v>
      </c>
      <c r="K88" s="2282">
        <f t="shared" si="38"/>
        <v>0</v>
      </c>
      <c r="N88" s="3012"/>
      <c r="O88" s="3014"/>
    </row>
    <row r="89" spans="1:15" ht="13.15" customHeight="1">
      <c r="A89" s="22" t="s">
        <v>1175</v>
      </c>
      <c r="B89" s="23">
        <f t="shared" ref="B89:K89" si="39">SUM(B82:B88)</f>
        <v>50497.146899947315</v>
      </c>
      <c r="C89" s="23">
        <f t="shared" si="39"/>
        <v>49499.846168777032</v>
      </c>
      <c r="D89" s="23">
        <f t="shared" si="39"/>
        <v>48307.322796596098</v>
      </c>
      <c r="E89" s="23">
        <f t="shared" si="39"/>
        <v>46908.946431792428</v>
      </c>
      <c r="F89" s="23">
        <f t="shared" si="39"/>
        <v>45295.7555387592</v>
      </c>
      <c r="G89" s="23">
        <f t="shared" si="39"/>
        <v>43457.446016902628</v>
      </c>
      <c r="H89" s="23">
        <f t="shared" si="39"/>
        <v>41384.359449318232</v>
      </c>
      <c r="I89" s="23">
        <f t="shared" si="39"/>
        <v>39066.470969432208</v>
      </c>
      <c r="J89" s="23">
        <f t="shared" si="39"/>
        <v>36490.376733570505</v>
      </c>
      <c r="K89" s="24">
        <f t="shared" si="39"/>
        <v>33647.280987021542</v>
      </c>
      <c r="N89" s="3012"/>
      <c r="O89" s="3014"/>
    </row>
    <row r="90" spans="1:15" ht="13.15" customHeight="1">
      <c r="A90" s="22" t="str">
        <f>$A61</f>
        <v>DCR Mortgage A</v>
      </c>
      <c r="B90" s="25">
        <f>IF(B83=0,"",-B82/B83)</f>
        <v>1.2612022352523655</v>
      </c>
      <c r="C90" s="25">
        <f t="shared" ref="C90:K90" si="40">IF(C83=0,"",-C82/C83)</f>
        <v>1.2560435837999055</v>
      </c>
      <c r="D90" s="25">
        <f t="shared" si="40"/>
        <v>1.2498751210346424</v>
      </c>
      <c r="E90" s="25">
        <f t="shared" si="40"/>
        <v>1.2426418602538996</v>
      </c>
      <c r="F90" s="25">
        <f t="shared" si="40"/>
        <v>1.2342974468955783</v>
      </c>
      <c r="G90" s="25">
        <f t="shared" si="40"/>
        <v>1.2247885818274977</v>
      </c>
      <c r="H90" s="25">
        <f t="shared" si="40"/>
        <v>1.2140653057897921</v>
      </c>
      <c r="I90" s="25">
        <f t="shared" si="40"/>
        <v>1.2020757640200062</v>
      </c>
      <c r="J90" s="25">
        <f t="shared" si="40"/>
        <v>1.1887506236123504</v>
      </c>
      <c r="K90" s="26">
        <f t="shared" si="40"/>
        <v>1.1740443875252606</v>
      </c>
      <c r="N90" s="3012"/>
      <c r="O90" s="3014"/>
    </row>
    <row r="91" spans="1:15" ht="13.15" customHeight="1">
      <c r="A91" s="22" t="str">
        <f>$A62</f>
        <v>DCR Mortgage B</v>
      </c>
      <c r="B91" s="25" t="str">
        <f>IF(B84=0,"",-(B82+B83)/B84)</f>
        <v/>
      </c>
      <c r="C91" s="25" t="str">
        <f t="shared" ref="C91:K91" si="41">IF(C84=0,"",-(C82+C83)/C84)</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N91" s="3012"/>
      <c r="O91" s="3014"/>
    </row>
    <row r="92" spans="1:15" ht="13.1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012"/>
      <c r="O92" s="3014"/>
    </row>
    <row r="93" spans="1:15" ht="13.1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012"/>
      <c r="O93" s="3014"/>
    </row>
    <row r="94" spans="1:15" ht="13.15" customHeight="1">
      <c r="A94" s="435" t="s">
        <v>3741</v>
      </c>
      <c r="B94" s="25">
        <f>IF(AND(B83=0,B84=0,B85=0,B86=0),"",-B82/(B83+B84+B85+B86))</f>
        <v>1.2612022352523655</v>
      </c>
      <c r="C94" s="25">
        <f t="shared" ref="C94:K94" si="44">IF(AND(C83=0,C84=0,C85=0,C86=0),"",-C82/(C83+C84+C85+C86))</f>
        <v>1.2560435837999055</v>
      </c>
      <c r="D94" s="25">
        <f t="shared" si="44"/>
        <v>1.2498751210346424</v>
      </c>
      <c r="E94" s="25">
        <f t="shared" si="44"/>
        <v>1.2426418602538996</v>
      </c>
      <c r="F94" s="25">
        <f t="shared" si="44"/>
        <v>1.2342974468955783</v>
      </c>
      <c r="G94" s="25">
        <f t="shared" si="44"/>
        <v>1.2247885818274977</v>
      </c>
      <c r="H94" s="25">
        <f t="shared" si="44"/>
        <v>1.2140653057897921</v>
      </c>
      <c r="I94" s="25">
        <f t="shared" si="44"/>
        <v>1.2020757640200062</v>
      </c>
      <c r="J94" s="25">
        <f t="shared" si="44"/>
        <v>1.1887506236123504</v>
      </c>
      <c r="K94" s="26">
        <f t="shared" si="44"/>
        <v>1.1740443875252606</v>
      </c>
      <c r="N94" s="3012"/>
      <c r="O94" s="3014"/>
    </row>
    <row r="95" spans="1:15" ht="13.15" customHeight="1">
      <c r="A95" s="22" t="s">
        <v>778</v>
      </c>
      <c r="B95" s="274">
        <f>IF(OR(B80="Choose mgt fee",B80="Choose One!"),"",(B74+B75+B76+B77+B78) / -(B79+B80+B81))</f>
        <v>1.3696555839662417</v>
      </c>
      <c r="C95" s="274">
        <f t="shared" ref="C95:K95" si="45">IF(OR(C80="Choose mgt fee",C80="Choose One!"),"",(C74+C75+C76+C77+C78) / -(C79+C80+C81))</f>
        <v>1.3578013115915331</v>
      </c>
      <c r="D95" s="274">
        <f t="shared" si="45"/>
        <v>1.3460390446842299</v>
      </c>
      <c r="E95" s="274">
        <f t="shared" si="45"/>
        <v>1.3343654745980285</v>
      </c>
      <c r="F95" s="274">
        <f t="shared" si="45"/>
        <v>1.3227812908856993</v>
      </c>
      <c r="G95" s="274">
        <f t="shared" si="45"/>
        <v>1.3112853162861025</v>
      </c>
      <c r="H95" s="274">
        <f t="shared" si="45"/>
        <v>1.2998781548468239</v>
      </c>
      <c r="I95" s="274">
        <f t="shared" si="45"/>
        <v>1.2885602755944348</v>
      </c>
      <c r="J95" s="274">
        <f t="shared" si="45"/>
        <v>1.2773273989535883</v>
      </c>
      <c r="K95" s="275">
        <f t="shared" si="45"/>
        <v>1.2661832332280616</v>
      </c>
      <c r="N95" s="3012"/>
      <c r="O95" s="3014"/>
    </row>
    <row r="96" spans="1:15" ht="13.15" customHeight="1">
      <c r="A96" s="435" t="s">
        <v>2635</v>
      </c>
      <c r="B96" s="2283">
        <f>IF('Part III-Sources of Funds'!$I$37="","",-FV('Part III-Sources of Funds'!$K$37/12,12,B83/12,K67))</f>
        <v>1884651.8355024557</v>
      </c>
      <c r="C96" s="2283">
        <f>IF('Part III-Sources of Funds'!$I$37="","",-FV('Part III-Sources of Funds'!$K$37/12,12,C83/12,B96))</f>
        <v>1792686.5013123944</v>
      </c>
      <c r="D96" s="2283">
        <f>IF('Part III-Sources of Funds'!$I$37="","",-FV('Part III-Sources of Funds'!$K$37/12,12,D83/12,C96))</f>
        <v>1695533.5993910311</v>
      </c>
      <c r="E96" s="2283">
        <f>IF('Part III-Sources of Funds'!$I$37="","",-FV('Part III-Sources of Funds'!$K$37/12,12,E83/12,D96))</f>
        <v>1592900.5101420379</v>
      </c>
      <c r="F96" s="2283">
        <f>IF('Part III-Sources of Funds'!$I$37="","",-FV('Part III-Sources of Funds'!$K$37/12,12,F83/12,E96))</f>
        <v>1484478.1079237512</v>
      </c>
      <c r="G96" s="2283">
        <f>IF('Part III-Sources of Funds'!$I$37="","",-FV('Part III-Sources of Funds'!$K$37/12,12,G83/12,F96))</f>
        <v>1369939.8299784712</v>
      </c>
      <c r="H96" s="2283">
        <f>IF('Part III-Sources of Funds'!$I$37="","",-FV('Part III-Sources of Funds'!$K$37/12,12,H83/12,G96))</f>
        <v>1248940.6928420539</v>
      </c>
      <c r="I96" s="2283">
        <f>IF('Part III-Sources of Funds'!$I$37="","",-FV('Part III-Sources of Funds'!$K$37/12,12,I83/12,H96))</f>
        <v>1121116.2532712757</v>
      </c>
      <c r="J96" s="2283">
        <f>IF('Part III-Sources of Funds'!$I$37="","",-FV('Part III-Sources of Funds'!$K$37/12,12,J83/12,I96))</f>
        <v>986081.51055932953</v>
      </c>
      <c r="K96" s="2283">
        <f>IF('Part III-Sources of Funds'!$I$37="","",-FV('Part III-Sources of Funds'!$K$37/12,12,K83/12,J96))</f>
        <v>843429.7469332912</v>
      </c>
      <c r="N96" s="3012"/>
      <c r="O96" s="3014"/>
    </row>
    <row r="97" spans="1:15" ht="13.15" customHeight="1">
      <c r="A97" s="435" t="s">
        <v>2636</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12"/>
      <c r="O97" s="3014"/>
    </row>
    <row r="98" spans="1:15" ht="13.15" customHeight="1">
      <c r="A98" s="435" t="s">
        <v>2637</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12"/>
      <c r="O98" s="3014"/>
    </row>
    <row r="99" spans="1:15" ht="13.15" customHeight="1">
      <c r="A99" s="22" t="s">
        <v>792</v>
      </c>
      <c r="B99" s="2282" t="str">
        <f>IF('Part III-Sources of Funds'!$I$40="","",-FV('Part III-Sources of Funds'!$K$40/12,12,B86/12,K70))</f>
        <v/>
      </c>
      <c r="C99" s="2282" t="str">
        <f>IF('Part III-Sources of Funds'!$I$40="","",-FV('Part III-Sources of Funds'!$K$40/12,12,C86/12,B99))</f>
        <v/>
      </c>
      <c r="D99" s="2282" t="str">
        <f>IF('Part III-Sources of Funds'!$I$40="","",-FV('Part III-Sources of Funds'!$K$40/12,12,D86/12,C99))</f>
        <v/>
      </c>
      <c r="E99" s="2282" t="str">
        <f>IF('Part III-Sources of Funds'!$I$40="","",-FV('Part III-Sources of Funds'!$K$40/12,12,E86/12,D99))</f>
        <v/>
      </c>
      <c r="F99" s="2282" t="str">
        <f>IF('Part III-Sources of Funds'!$I$40="","",-FV('Part III-Sources of Funds'!$K$40/12,12,F86/12,E99))</f>
        <v/>
      </c>
      <c r="G99" s="2282" t="str">
        <f>IF('Part III-Sources of Funds'!$I$40="","",-FV('Part III-Sources of Funds'!$K$40/12,12,G86/12,F99))</f>
        <v/>
      </c>
      <c r="H99" s="2282" t="str">
        <f>IF('Part III-Sources of Funds'!$I$40="","",-FV('Part III-Sources of Funds'!$K$40/12,12,H86/12,G99))</f>
        <v/>
      </c>
      <c r="I99" s="2282" t="str">
        <f>IF('Part III-Sources of Funds'!$I$40="","",-FV('Part III-Sources of Funds'!$K$40/12,12,I86/12,H99))</f>
        <v/>
      </c>
      <c r="J99" s="2282" t="str">
        <f>IF('Part III-Sources of Funds'!$I$40="","",-FV('Part III-Sources of Funds'!$K$40/12,12,J86/12,I99))</f>
        <v/>
      </c>
      <c r="K99" s="2282" t="str">
        <f>IF('Part III-Sources of Funds'!$I$40="","",-FV('Part III-Sources of Funds'!$K$40/12,12,K86/12,J99))</f>
        <v/>
      </c>
      <c r="N99" s="3009"/>
      <c r="O99" s="3011"/>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73" t="s">
        <v>3731</v>
      </c>
      <c r="O101" s="2773"/>
    </row>
    <row r="102" spans="1:15" ht="13.15" customHeight="1">
      <c r="A102" s="19" t="s">
        <v>2421</v>
      </c>
      <c r="B102" s="20">
        <f>$B$14*(1+$B$5)^(B101-1)</f>
        <v>1162415.9375361498</v>
      </c>
      <c r="C102" s="20">
        <f>$B$14*(1+$B$5)^(C101-1)</f>
        <v>1185664.2562868723</v>
      </c>
      <c r="D102" s="20">
        <f>$B$14*(1+$B$5)^(D101-1)</f>
        <v>1209377.5414126101</v>
      </c>
      <c r="E102" s="20">
        <f>$B$14*(1+$B$5)^(E101-1)</f>
        <v>1233565.0922408623</v>
      </c>
      <c r="F102" s="670">
        <f>$B$14*(1+$B$5)^(F101-1)</f>
        <v>1258236.3940856794</v>
      </c>
      <c r="G102" s="18"/>
      <c r="H102" s="18"/>
      <c r="I102" s="18"/>
      <c r="J102" s="18"/>
      <c r="K102" s="18"/>
      <c r="N102" s="3016"/>
      <c r="O102" s="3018"/>
    </row>
    <row r="103" spans="1:15" ht="13.15" customHeight="1">
      <c r="A103" s="22" t="s">
        <v>1026</v>
      </c>
      <c r="B103" s="23">
        <f>$B$15*(1+$B$5)^(B101-1)</f>
        <v>21736.339009240241</v>
      </c>
      <c r="C103" s="23">
        <f>$B$15*(1+$B$5)^(C101-1)</f>
        <v>22171.06578942504</v>
      </c>
      <c r="D103" s="23">
        <f>$B$15*(1+$B$5)^(D101-1)</f>
        <v>22614.487105213546</v>
      </c>
      <c r="E103" s="23">
        <f>$B$15*(1+$B$5)^(E101-1)</f>
        <v>23066.776847317818</v>
      </c>
      <c r="F103" s="24">
        <f>$B$15*(1+$B$5)^(F101-1)</f>
        <v>23528.112384264172</v>
      </c>
      <c r="G103" s="18"/>
      <c r="H103" s="18"/>
      <c r="I103" s="18"/>
      <c r="J103" s="18"/>
      <c r="K103" s="18"/>
      <c r="N103" s="3012"/>
      <c r="O103" s="3014"/>
    </row>
    <row r="104" spans="1:15" ht="13.15" customHeight="1">
      <c r="A104" s="22" t="s">
        <v>2422</v>
      </c>
      <c r="B104" s="23">
        <f>-(B102+B103)*$B$8</f>
        <v>-82890.659358177305</v>
      </c>
      <c r="C104" s="23">
        <f>-(C102+C103)*$B$8</f>
        <v>-84548.472545340817</v>
      </c>
      <c r="D104" s="23">
        <f>-(D102+D103)*$B$8</f>
        <v>-86239.441996247668</v>
      </c>
      <c r="E104" s="23">
        <f>-(E102+E103)*$B$8</f>
        <v>-87964.230836172617</v>
      </c>
      <c r="F104" s="24">
        <f>-(F102+F103)*$B$8</f>
        <v>-89723.515452896056</v>
      </c>
      <c r="G104" s="18"/>
      <c r="H104" s="18"/>
      <c r="I104" s="18"/>
      <c r="J104" s="18"/>
      <c r="K104" s="18"/>
      <c r="N104" s="3012"/>
      <c r="O104" s="3014"/>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12"/>
      <c r="O105" s="3014"/>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12"/>
      <c r="O106" s="3014"/>
    </row>
    <row r="107" spans="1:15" ht="13.15" customHeight="1">
      <c r="A107" s="22" t="s">
        <v>620</v>
      </c>
      <c r="B107" s="23">
        <f>$B$19*(1+$B$6)^(B101-1)</f>
        <v>-738339.26206129766</v>
      </c>
      <c r="C107" s="23">
        <f>$B$19*(1+$B$6)^(C101-1)</f>
        <v>-760489.43992313673</v>
      </c>
      <c r="D107" s="23">
        <f>$B$19*(1+$B$6)^(D101-1)</f>
        <v>-783304.12312083063</v>
      </c>
      <c r="E107" s="23">
        <f>$B$19*(1+$B$6)^(E101-1)</f>
        <v>-806803.2468144556</v>
      </c>
      <c r="F107" s="24">
        <f>$B$19*(1+$B$6)^(F101-1)</f>
        <v>-831007.34421888913</v>
      </c>
      <c r="G107" s="18"/>
      <c r="H107" s="18"/>
      <c r="I107" s="18"/>
      <c r="J107" s="18"/>
      <c r="K107" s="18"/>
      <c r="N107" s="3012"/>
      <c r="O107" s="3014"/>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-88101</v>
      </c>
      <c r="C108" s="23">
        <f>IF(AND('Part VII-Pro Forma'!$G$8="Yes",'Part VII-Pro Forma'!$G$9="Yes"),"Choose One!",IF('Part VII-Pro Forma'!$G$8="Yes",ROUND((-$K$8*(1+'Part VII-Pro Forma'!$B$6)^('Part VII-Pro Forma'!C101-1)),),IF('Part VII-Pro Forma'!$G$9="Yes",ROUND((-(SUM(C102:C105)*'Part VII-Pro Forma'!$K$9)),),"Choose mgt fee")))</f>
        <v>-89863</v>
      </c>
      <c r="D108" s="23">
        <f>IF(AND('Part VII-Pro Forma'!$G$8="Yes",'Part VII-Pro Forma'!$G$9="Yes"),"Choose One!",IF('Part VII-Pro Forma'!$G$8="Yes",ROUND((-$K$8*(1+'Part VII-Pro Forma'!$B$6)^('Part VII-Pro Forma'!D101-1)),),IF('Part VII-Pro Forma'!$G$9="Yes",ROUND((-(SUM(D102:D105)*'Part VII-Pro Forma'!$K$9)),),"Choose mgt fee")))</f>
        <v>-91660</v>
      </c>
      <c r="E108" s="23">
        <f>IF(AND('Part VII-Pro Forma'!$G$8="Yes",'Part VII-Pro Forma'!$G$9="Yes"),"Choose One!",IF('Part VII-Pro Forma'!$G$8="Yes",ROUND((-$K$8*(1+'Part VII-Pro Forma'!$B$6)^('Part VII-Pro Forma'!E101-1)),),IF('Part VII-Pro Forma'!$G$9="Yes",ROUND((-(SUM(E102:E105)*'Part VII-Pro Forma'!$K$9)),),"Choose mgt fee")))</f>
        <v>-93493</v>
      </c>
      <c r="F108" s="24">
        <f>IF(AND('Part VII-Pro Forma'!$G$8="Yes",'Part VII-Pro Forma'!$G$9="Yes"),"Choose One!",IF('Part VII-Pro Forma'!$G$8="Yes",ROUND((-$K$8*(1+'Part VII-Pro Forma'!$B$6)^('Part VII-Pro Forma'!F101-1)),),IF('Part VII-Pro Forma'!$G$9="Yes",ROUND((-(SUM(F102:F105)*'Part VII-Pro Forma'!$K$9)),),"Choose mgt fee")))</f>
        <v>-95363</v>
      </c>
      <c r="G108" s="18"/>
      <c r="H108" s="18"/>
      <c r="I108" s="18"/>
      <c r="J108" s="18"/>
      <c r="K108" s="18"/>
      <c r="N108" s="3012"/>
      <c r="O108" s="3014"/>
    </row>
    <row r="109" spans="1:15" ht="13.15" customHeight="1">
      <c r="A109" s="22" t="s">
        <v>1214</v>
      </c>
      <c r="B109" s="23">
        <f>$B$21*(1+$B$7)^(B101-1)</f>
        <v>-50972.511894982839</v>
      </c>
      <c r="C109" s="23">
        <f>$B$21*(1+$B$7)^(C101-1)</f>
        <v>-52501.687251832336</v>
      </c>
      <c r="D109" s="23">
        <f>$B$21*(1+$B$7)^(D101-1)</f>
        <v>-54076.737869387296</v>
      </c>
      <c r="E109" s="23">
        <f>$B$21*(1+$B$7)^(E101-1)</f>
        <v>-55699.040005468916</v>
      </c>
      <c r="F109" s="24">
        <f>$B$21*(1+$B$7)^(F101-1)</f>
        <v>-57370.011205632974</v>
      </c>
      <c r="G109" s="18"/>
      <c r="H109" s="18"/>
      <c r="I109" s="18"/>
      <c r="J109" s="18"/>
      <c r="K109" s="18"/>
      <c r="N109" s="3012"/>
      <c r="O109" s="3014"/>
    </row>
    <row r="110" spans="1:15" ht="13.15" customHeight="1">
      <c r="A110" s="22" t="s">
        <v>1215</v>
      </c>
      <c r="B110" s="23">
        <f>SUM(B102:B109)</f>
        <v>223848.84323093219</v>
      </c>
      <c r="C110" s="23">
        <f>SUM(C102:C109)</f>
        <v>220432.72235598741</v>
      </c>
      <c r="D110" s="23">
        <f>SUM(D102:D109)</f>
        <v>216711.72553135801</v>
      </c>
      <c r="E110" s="23">
        <f>SUM(E102:E109)</f>
        <v>212672.35143208303</v>
      </c>
      <c r="F110" s="24">
        <f>SUM(F102:F109)</f>
        <v>208300.63559252545</v>
      </c>
      <c r="G110" s="18"/>
      <c r="H110" s="18"/>
      <c r="I110" s="18"/>
      <c r="J110" s="18"/>
      <c r="K110" s="18"/>
      <c r="N110" s="3012"/>
      <c r="O110" s="3014"/>
    </row>
    <row r="111" spans="1:15" ht="13.15" customHeight="1">
      <c r="A111" s="22" t="str">
        <f>$A83</f>
        <v>Mortgage A</v>
      </c>
      <c r="B111" s="2277">
        <f>IF('Part III-Sources of Funds'!$N$37="", 0,-'Part III-Sources of Funds'!$N$37)</f>
        <v>-193325.86052013887</v>
      </c>
      <c r="C111" s="2277">
        <f>IF('Part III-Sources of Funds'!$N$37="", 0,-'Part III-Sources of Funds'!$N$37)</f>
        <v>-193325.86052013887</v>
      </c>
      <c r="D111" s="2277">
        <f>IF('Part III-Sources of Funds'!$N$37="", 0,-'Part III-Sources of Funds'!$N$37)</f>
        <v>-193325.86052013887</v>
      </c>
      <c r="E111" s="2277">
        <f>IF('Part III-Sources of Funds'!$N$37="", 0,-'Part III-Sources of Funds'!$N$37)</f>
        <v>-193325.86052013887</v>
      </c>
      <c r="F111" s="2277">
        <f>IF('Part III-Sources of Funds'!$N$37="", 0,-'Part III-Sources of Funds'!$N$37)</f>
        <v>-193325.86052013887</v>
      </c>
      <c r="G111" s="18"/>
      <c r="H111" s="18"/>
      <c r="I111" s="18"/>
      <c r="J111" s="18"/>
      <c r="K111" s="18"/>
      <c r="N111" s="3012"/>
      <c r="O111" s="3014"/>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12"/>
      <c r="O112" s="3014"/>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12"/>
      <c r="O113" s="3014"/>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12"/>
      <c r="O114" s="3014"/>
    </row>
    <row r="115" spans="1:15" ht="13.15" customHeight="1">
      <c r="A115" s="22" t="s">
        <v>771</v>
      </c>
      <c r="B115" s="2279"/>
      <c r="C115" s="2279"/>
      <c r="D115" s="2279"/>
      <c r="E115" s="2279"/>
      <c r="F115" s="2279"/>
      <c r="G115" s="18"/>
      <c r="H115" s="18"/>
      <c r="I115" s="18"/>
      <c r="J115" s="18"/>
      <c r="K115" s="18"/>
      <c r="N115" s="3012"/>
      <c r="O115" s="3014"/>
    </row>
    <row r="116" spans="1:15" ht="13.15" customHeight="1">
      <c r="A116" s="22" t="s">
        <v>1174</v>
      </c>
      <c r="B116" s="2282">
        <f>+K88</f>
        <v>0</v>
      </c>
      <c r="C116" s="2282">
        <f>+B116</f>
        <v>0</v>
      </c>
      <c r="D116" s="2282">
        <f>+C116</f>
        <v>0</v>
      </c>
      <c r="E116" s="2282">
        <f>+D116</f>
        <v>0</v>
      </c>
      <c r="F116" s="2282">
        <f>+E116</f>
        <v>0</v>
      </c>
      <c r="G116" s="18"/>
      <c r="H116" s="18"/>
      <c r="I116" s="18"/>
      <c r="J116" s="18"/>
      <c r="K116" s="18"/>
      <c r="N116" s="3012"/>
      <c r="O116" s="3014"/>
    </row>
    <row r="117" spans="1:15" ht="13.15" customHeight="1">
      <c r="A117" s="22" t="s">
        <v>1175</v>
      </c>
      <c r="B117" s="23">
        <f>SUM(B110:B116)</f>
        <v>30522.982710793323</v>
      </c>
      <c r="C117" s="23">
        <f>SUM(C110:C116)</f>
        <v>27106.86183584854</v>
      </c>
      <c r="D117" s="23">
        <f>SUM(D110:D116)</f>
        <v>23385.865011219139</v>
      </c>
      <c r="E117" s="23">
        <f>SUM(E110:E116)</f>
        <v>19346.490911944158</v>
      </c>
      <c r="F117" s="24">
        <f>SUM(F110:F116)</f>
        <v>14974.775072386576</v>
      </c>
      <c r="G117" s="18"/>
      <c r="H117" s="18"/>
      <c r="I117" s="18"/>
      <c r="J117" s="18"/>
      <c r="K117" s="18"/>
      <c r="N117" s="3012"/>
      <c r="O117" s="3014"/>
    </row>
    <row r="118" spans="1:15" ht="13.15" customHeight="1">
      <c r="A118" s="22" t="str">
        <f>$A90</f>
        <v>DCR Mortgage A</v>
      </c>
      <c r="B118" s="25">
        <f>IF(B111=0,"",-B110/B111)</f>
        <v>1.1578835993729546</v>
      </c>
      <c r="C118" s="25">
        <f>IF(C111=0,"",-C110/C111)</f>
        <v>1.1402133256405436</v>
      </c>
      <c r="D118" s="25">
        <f>IF(D111=0,"",-D110/D111)</f>
        <v>1.1209660463856206</v>
      </c>
      <c r="E118" s="25">
        <f>IF(E111=0,"",-E110/E111)</f>
        <v>1.1000719244693538</v>
      </c>
      <c r="F118" s="26">
        <f>IF(F111=0,"",-F110/F111)</f>
        <v>1.0774587271050924</v>
      </c>
      <c r="G118" s="18"/>
      <c r="H118" s="18"/>
      <c r="I118" s="18"/>
      <c r="J118" s="18"/>
      <c r="K118" s="18"/>
      <c r="N118" s="3012"/>
      <c r="O118" s="3014"/>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12"/>
      <c r="O119" s="3014"/>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12"/>
      <c r="O120" s="3014"/>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12"/>
      <c r="O121" s="3014"/>
    </row>
    <row r="122" spans="1:15" ht="13.15" customHeight="1">
      <c r="A122" s="435" t="s">
        <v>3741</v>
      </c>
      <c r="B122" s="25">
        <f>IF(AND(B111=0,B112=0,B113=0,B114=0),"",-B110/(B111+B112+B113+B114))</f>
        <v>1.1578835993729546</v>
      </c>
      <c r="C122" s="25">
        <f>IF(AND(C111=0,C112=0,C113=0,C114=0),"",-C110/(C111+C112+C113+C114))</f>
        <v>1.1402133256405436</v>
      </c>
      <c r="D122" s="25">
        <f>IF(AND(D111=0,D112=0,D113=0,D114=0),"",-D110/(D111+D112+D113+D114))</f>
        <v>1.1209660463856206</v>
      </c>
      <c r="E122" s="25">
        <f>IF(AND(E111=0,E112=0,E113=0,E114=0),"",-E110/(E111+E112+E113+E114))</f>
        <v>1.1000719244693538</v>
      </c>
      <c r="F122" s="26">
        <f>IF(AND(F111=0,F112=0,F113=0,F114=0),"",-F110/(F111+F112+F113+F114))</f>
        <v>1.0774587271050924</v>
      </c>
      <c r="G122" s="18"/>
      <c r="H122" s="18"/>
      <c r="I122" s="18"/>
      <c r="J122" s="18"/>
      <c r="K122" s="18"/>
      <c r="N122" s="3012"/>
      <c r="O122" s="3014"/>
    </row>
    <row r="123" spans="1:15" ht="13.15" customHeight="1">
      <c r="A123" s="22" t="s">
        <v>778</v>
      </c>
      <c r="B123" s="274">
        <f>IF(OR(B108="Choose mgt fee",B108="Choose One!"),"",(B102+B103+B104+B105+B106) / -(B107+B108+B109))</f>
        <v>1.2551237568853608</v>
      </c>
      <c r="C123" s="274">
        <f>IF(OR(C108="Choose mgt fee",C108="Choose One!"),"",(C102+C103+C104+C105+C106) / -(C107+C108+C109))</f>
        <v>1.2441509826683979</v>
      </c>
      <c r="D123" s="274">
        <f>IF(OR(D108="Choose mgt fee",D108="Choose One!"),"",(D102+D103+D104+D105+D106) / -(D107+D108+D109))</f>
        <v>1.2332639334080269</v>
      </c>
      <c r="E123" s="274">
        <f>IF(OR(E108="Choose mgt fee",E108="Choose One!"),"",(E102+E103+E104+E105+E106) / -(E107+E108+E109))</f>
        <v>1.2224617154123512</v>
      </c>
      <c r="F123" s="671">
        <f>IF(OR(F108="Choose mgt fee",F108="Choose One!"),"",(F102+F103+F104+F105+F106) / -(F107+F108+F109))</f>
        <v>1.211743509803088</v>
      </c>
      <c r="G123" s="18"/>
      <c r="H123" s="18"/>
      <c r="I123" s="18"/>
      <c r="J123" s="18"/>
      <c r="K123" s="18"/>
      <c r="N123" s="3012"/>
      <c r="O123" s="3014"/>
    </row>
    <row r="124" spans="1:15" ht="13.15" customHeight="1">
      <c r="A124" s="435" t="s">
        <v>2635</v>
      </c>
      <c r="B124" s="2283">
        <f>IF('Part III-Sources of Funds'!$I$37="","",-FV('Part III-Sources of Funds'!$K$37/12,12,B111/12,K96))</f>
        <v>692731.30254088494</v>
      </c>
      <c r="C124" s="2283">
        <f>IF('Part III-Sources of Funds'!$I$37="","",-FV('Part III-Sources of Funds'!$K$37/12,12,C111/12,B124))</f>
        <v>533532.28133687447</v>
      </c>
      <c r="D124" s="2283">
        <f>IF('Part III-Sources of Funds'!$I$37="","",-FV('Part III-Sources of Funds'!$K$37/12,12,D111/12,C124))</f>
        <v>365353.18397127429</v>
      </c>
      <c r="E124" s="2283">
        <f>IF('Part III-Sources of Funds'!$I$37="","",-FV('Part III-Sources of Funds'!$K$37/12,12,E111/12,D124))</f>
        <v>187687.46356170994</v>
      </c>
      <c r="F124" s="2283">
        <f>IF('Part III-Sources of Funds'!$I$37="","",-FV('Part III-Sources of Funds'!$K$37/12,12,F111/12,E124))</f>
        <v>-1.2660166248679161E-8</v>
      </c>
      <c r="G124" s="18"/>
      <c r="H124" s="18"/>
      <c r="I124" s="18"/>
      <c r="J124" s="18"/>
      <c r="K124" s="18"/>
      <c r="N124" s="3012"/>
      <c r="O124" s="3014"/>
    </row>
    <row r="125" spans="1:15" ht="13.15" customHeight="1">
      <c r="A125" s="435" t="s">
        <v>2636</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12"/>
      <c r="O125" s="3014"/>
    </row>
    <row r="126" spans="1:15" ht="13.15" customHeight="1">
      <c r="A126" s="435" t="s">
        <v>2637</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12"/>
      <c r="O126" s="3014"/>
    </row>
    <row r="127" spans="1:15" ht="13.15" customHeight="1">
      <c r="A127" s="27" t="s">
        <v>792</v>
      </c>
      <c r="B127" s="2282" t="str">
        <f>IF('Part III-Sources of Funds'!$I$40="","",-FV('Part III-Sources of Funds'!$K$40/12,12,B114/12,K99))</f>
        <v/>
      </c>
      <c r="C127" s="2282" t="str">
        <f>IF('Part III-Sources of Funds'!$I$40="","",-FV('Part III-Sources of Funds'!$K$40/12,12,C114/12,B127))</f>
        <v/>
      </c>
      <c r="D127" s="2282" t="str">
        <f>IF('Part III-Sources of Funds'!$I$40="","",-FV('Part III-Sources of Funds'!$K$40/12,12,D114/12,C127))</f>
        <v/>
      </c>
      <c r="E127" s="2282" t="str">
        <f>IF('Part III-Sources of Funds'!$I$40="","",-FV('Part III-Sources of Funds'!$K$40/12,12,E114/12,D127))</f>
        <v/>
      </c>
      <c r="F127" s="2282" t="str">
        <f>IF('Part III-Sources of Funds'!$I$40="","",-FV('Part III-Sources of Funds'!$K$40/12,12,F114/12,E127))</f>
        <v/>
      </c>
      <c r="G127" s="18"/>
      <c r="H127" s="18"/>
      <c r="I127" s="18"/>
      <c r="J127" s="18"/>
      <c r="K127" s="18"/>
      <c r="N127" s="3009"/>
      <c r="O127" s="3011"/>
    </row>
    <row r="128" spans="1:15" ht="4.1500000000000004" customHeight="1"/>
    <row r="129" spans="1:18" ht="12" customHeight="1">
      <c r="A129" s="14" t="s">
        <v>576</v>
      </c>
      <c r="B129" s="14"/>
      <c r="G129" s="14" t="s">
        <v>1041</v>
      </c>
    </row>
    <row r="130" spans="1:18" ht="12" customHeight="1">
      <c r="B130" s="32"/>
    </row>
    <row r="131" spans="1:18" ht="409.5" customHeight="1">
      <c r="A131" s="2629" t="s">
        <v>4705</v>
      </c>
      <c r="B131" s="3077"/>
      <c r="C131" s="3077"/>
      <c r="D131" s="3077"/>
      <c r="E131" s="3077"/>
      <c r="F131" s="3078"/>
      <c r="G131" s="3079"/>
      <c r="H131" s="3080"/>
      <c r="I131" s="3080"/>
      <c r="J131" s="3080"/>
      <c r="K131" s="3081"/>
      <c r="N131" s="2705" t="s">
        <v>2711</v>
      </c>
      <c r="O131" s="270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WWDkGZoEGuB1SwNnRsCw5f+K3JbSlcJ6mUmmL1ZHr3otnGOPqBA1zxdMIyVamlyo2lXHmBw/laX9DT+sd7MkIQ==" saltValue="fmGhowly2NbaUVxWATfyQ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30" zoomScaleNormal="100" workbookViewId="0">
      <selection activeCell="A5"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3" t="str">
        <f>CONCATENATE("PART EIGHT - THRESHOLD CRITERIA","  -  ",'Part I-Project Information'!$O$6," ",'Part I-Project Information'!$F$34,", ",'Part I-Project Information'!F38,", ",'Part I-Project Information'!J39," County")</f>
        <v>PART EIGHT - THRESHOLD CRITERIA  -  2018-021 Grayling Place, Columbus, Muscogee County</v>
      </c>
      <c r="B1" s="2824"/>
      <c r="C1" s="2824"/>
      <c r="D1" s="2824"/>
      <c r="E1" s="2824"/>
      <c r="F1" s="2824"/>
      <c r="G1" s="2824"/>
      <c r="H1" s="2824"/>
      <c r="I1" s="2824"/>
      <c r="J1" s="2824"/>
      <c r="K1" s="2824"/>
      <c r="L1" s="2824"/>
      <c r="M1" s="2824"/>
      <c r="N1" s="2824"/>
      <c r="O1" s="2824"/>
      <c r="P1" s="2824"/>
      <c r="Q1" s="2824"/>
    </row>
    <row r="2" spans="1:32" s="28" customFormat="1" ht="3" customHeight="1">
      <c r="S2" s="36"/>
      <c r="T2" s="36"/>
      <c r="AE2" s="120"/>
      <c r="AF2" s="120"/>
    </row>
    <row r="3" spans="1:32" ht="13.5" customHeight="1">
      <c r="A3" s="325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53"/>
      <c r="C3" s="3253"/>
      <c r="D3" s="3253"/>
      <c r="E3" s="3253"/>
      <c r="F3" s="3253"/>
      <c r="G3" s="3253"/>
      <c r="H3" s="325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53"/>
      <c r="J3" s="3253"/>
      <c r="K3" s="3253"/>
      <c r="L3" s="3253"/>
      <c r="M3" s="3253"/>
      <c r="N3" s="3254"/>
      <c r="O3" s="3255" t="s">
        <v>944</v>
      </c>
      <c r="P3" s="3256"/>
      <c r="Q3" s="565" t="s">
        <v>1857</v>
      </c>
    </row>
    <row r="4" spans="1:32" ht="3" customHeight="1">
      <c r="A4" s="1586"/>
      <c r="B4" s="3257"/>
      <c r="C4" s="3257"/>
      <c r="D4" s="3257"/>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3260" t="s">
        <v>3875</v>
      </c>
      <c r="K6" s="3260"/>
      <c r="L6" s="3260"/>
      <c r="M6" s="3260"/>
      <c r="N6" s="3260"/>
      <c r="O6" s="3261"/>
      <c r="P6" s="3258"/>
      <c r="Q6" s="3259"/>
    </row>
    <row r="7" spans="1:32" ht="12.6" customHeight="1">
      <c r="A7" s="131" t="s">
        <v>3474</v>
      </c>
      <c r="C7" s="132"/>
      <c r="D7" s="132"/>
      <c r="H7" s="1435"/>
      <c r="I7" s="1435"/>
      <c r="J7" s="1435"/>
      <c r="K7" s="1435"/>
      <c r="L7" s="1435"/>
      <c r="M7" s="1586"/>
      <c r="N7" s="1586"/>
    </row>
    <row r="8" spans="1:32" ht="24.6" customHeight="1">
      <c r="A8" s="3272" t="s">
        <v>1420</v>
      </c>
      <c r="B8" s="3273"/>
      <c r="C8" s="3273"/>
      <c r="D8" s="3273"/>
      <c r="E8" s="3273"/>
      <c r="F8" s="3273"/>
      <c r="G8" s="3273"/>
      <c r="H8" s="3273"/>
      <c r="I8" s="3273"/>
      <c r="J8" s="3273"/>
      <c r="K8" s="3273"/>
      <c r="L8" s="3273"/>
      <c r="M8" s="3273"/>
      <c r="N8" s="3273"/>
      <c r="O8" s="3273"/>
      <c r="P8" s="3273"/>
      <c r="Q8" s="3274"/>
      <c r="R8" s="3015" t="s">
        <v>2048</v>
      </c>
      <c r="S8" s="2434"/>
    </row>
    <row r="9" spans="1:32" ht="24.6" customHeight="1">
      <c r="A9" s="3250" t="s">
        <v>228</v>
      </c>
      <c r="B9" s="3251"/>
      <c r="C9" s="3251"/>
      <c r="D9" s="3251"/>
      <c r="E9" s="3251"/>
      <c r="F9" s="3251"/>
      <c r="G9" s="3251"/>
      <c r="H9" s="3251"/>
      <c r="I9" s="3251"/>
      <c r="J9" s="3251"/>
      <c r="K9" s="3251"/>
      <c r="L9" s="3251"/>
      <c r="M9" s="3251"/>
      <c r="N9" s="3251"/>
      <c r="O9" s="3251"/>
      <c r="P9" s="3251"/>
      <c r="Q9" s="3252"/>
      <c r="R9" s="3015"/>
      <c r="S9" s="2434"/>
    </row>
    <row r="10" spans="1:32" ht="24.6" customHeight="1">
      <c r="A10" s="3250" t="s">
        <v>1416</v>
      </c>
      <c r="B10" s="3251"/>
      <c r="C10" s="3251"/>
      <c r="D10" s="3251"/>
      <c r="E10" s="3251"/>
      <c r="F10" s="3251"/>
      <c r="G10" s="3251"/>
      <c r="H10" s="3251"/>
      <c r="I10" s="3251"/>
      <c r="J10" s="3251"/>
      <c r="K10" s="3251"/>
      <c r="L10" s="3251"/>
      <c r="M10" s="3251"/>
      <c r="N10" s="3251"/>
      <c r="O10" s="3251"/>
      <c r="P10" s="3251"/>
      <c r="Q10" s="3252"/>
      <c r="R10" s="3015"/>
      <c r="S10" s="2434"/>
    </row>
    <row r="11" spans="1:32" ht="24.6" customHeight="1">
      <c r="A11" s="3250" t="s">
        <v>1417</v>
      </c>
      <c r="B11" s="3251"/>
      <c r="C11" s="3251"/>
      <c r="D11" s="3251"/>
      <c r="E11" s="3251"/>
      <c r="F11" s="3251"/>
      <c r="G11" s="3251"/>
      <c r="H11" s="3251"/>
      <c r="I11" s="3251"/>
      <c r="J11" s="3251"/>
      <c r="K11" s="3251"/>
      <c r="L11" s="3251"/>
      <c r="M11" s="3251"/>
      <c r="N11" s="3251"/>
      <c r="O11" s="3251"/>
      <c r="P11" s="3251"/>
      <c r="Q11" s="3252"/>
      <c r="R11" s="3015"/>
      <c r="S11" s="2434"/>
    </row>
    <row r="12" spans="1:32" ht="24" customHeight="1">
      <c r="A12" s="3250" t="s">
        <v>1418</v>
      </c>
      <c r="B12" s="3251"/>
      <c r="C12" s="3251"/>
      <c r="D12" s="3251"/>
      <c r="E12" s="3251"/>
      <c r="F12" s="3251"/>
      <c r="G12" s="3251"/>
      <c r="H12" s="3251"/>
      <c r="I12" s="3251"/>
      <c r="J12" s="3251"/>
      <c r="K12" s="3251"/>
      <c r="L12" s="3251"/>
      <c r="M12" s="3251"/>
      <c r="N12" s="3251"/>
      <c r="O12" s="3251"/>
      <c r="P12" s="3251"/>
      <c r="Q12" s="3252"/>
      <c r="R12" s="1556"/>
      <c r="S12" s="1556"/>
    </row>
    <row r="13" spans="1:32" ht="11.25" customHeight="1">
      <c r="A13" s="3250" t="s">
        <v>1419</v>
      </c>
      <c r="B13" s="3251"/>
      <c r="C13" s="3251"/>
      <c r="D13" s="3251"/>
      <c r="E13" s="3251"/>
      <c r="F13" s="3251"/>
      <c r="G13" s="3251"/>
      <c r="H13" s="3251"/>
      <c r="I13" s="3251"/>
      <c r="J13" s="3251"/>
      <c r="K13" s="3251"/>
      <c r="L13" s="3251"/>
      <c r="M13" s="3251"/>
      <c r="N13" s="3251"/>
      <c r="O13" s="3251"/>
      <c r="P13" s="3251"/>
      <c r="Q13" s="3252"/>
      <c r="R13" s="1556"/>
      <c r="S13" s="1556"/>
    </row>
    <row r="14" spans="1:32" ht="11.25" customHeight="1">
      <c r="A14" s="3250" t="s">
        <v>1421</v>
      </c>
      <c r="B14" s="3251"/>
      <c r="C14" s="3251"/>
      <c r="D14" s="3251"/>
      <c r="E14" s="3251"/>
      <c r="F14" s="3251"/>
      <c r="G14" s="3251"/>
      <c r="H14" s="3251"/>
      <c r="I14" s="3251"/>
      <c r="J14" s="3251"/>
      <c r="K14" s="3251"/>
      <c r="L14" s="3251"/>
      <c r="M14" s="3251"/>
      <c r="N14" s="3251"/>
      <c r="O14" s="3251"/>
      <c r="P14" s="3251"/>
      <c r="Q14" s="3252"/>
    </row>
    <row r="15" spans="1:32" ht="11.25" customHeight="1">
      <c r="A15" s="3250" t="s">
        <v>2035</v>
      </c>
      <c r="B15" s="3251"/>
      <c r="C15" s="3251"/>
      <c r="D15" s="3251"/>
      <c r="E15" s="3251"/>
      <c r="F15" s="3251"/>
      <c r="G15" s="3251"/>
      <c r="H15" s="3251"/>
      <c r="I15" s="3251"/>
      <c r="J15" s="3251"/>
      <c r="K15" s="3251"/>
      <c r="L15" s="3251"/>
      <c r="M15" s="3251"/>
      <c r="N15" s="3251"/>
      <c r="O15" s="3251"/>
      <c r="P15" s="3251"/>
      <c r="Q15" s="3252"/>
      <c r="R15" s="3015" t="s">
        <v>2048</v>
      </c>
      <c r="S15" s="2697"/>
    </row>
    <row r="16" spans="1:32" ht="11.25" customHeight="1">
      <c r="A16" s="3250" t="s">
        <v>2036</v>
      </c>
      <c r="B16" s="3251"/>
      <c r="C16" s="3251"/>
      <c r="D16" s="3251"/>
      <c r="E16" s="3251"/>
      <c r="F16" s="3251"/>
      <c r="G16" s="3251"/>
      <c r="H16" s="3251"/>
      <c r="I16" s="3251"/>
      <c r="J16" s="3251"/>
      <c r="K16" s="3251"/>
      <c r="L16" s="3251"/>
      <c r="M16" s="3251"/>
      <c r="N16" s="3251"/>
      <c r="O16" s="3251"/>
      <c r="P16" s="3251"/>
      <c r="Q16" s="3252"/>
      <c r="R16" s="3015"/>
      <c r="S16" s="2697"/>
    </row>
    <row r="17" spans="1:31" ht="11.25" customHeight="1">
      <c r="A17" s="3250" t="s">
        <v>2037</v>
      </c>
      <c r="B17" s="3251"/>
      <c r="C17" s="3251"/>
      <c r="D17" s="3251"/>
      <c r="E17" s="3251"/>
      <c r="F17" s="3251"/>
      <c r="G17" s="3251"/>
      <c r="H17" s="3251"/>
      <c r="I17" s="3251"/>
      <c r="J17" s="3251"/>
      <c r="K17" s="3251"/>
      <c r="L17" s="3251"/>
      <c r="M17" s="3251"/>
      <c r="N17" s="3251"/>
      <c r="O17" s="3251"/>
      <c r="P17" s="3251"/>
      <c r="Q17" s="3252"/>
      <c r="R17" s="3015"/>
      <c r="S17" s="2697"/>
    </row>
    <row r="18" spans="1:31" ht="11.25" customHeight="1">
      <c r="A18" s="3250" t="s">
        <v>2038</v>
      </c>
      <c r="B18" s="3251"/>
      <c r="C18" s="3251"/>
      <c r="D18" s="3251"/>
      <c r="E18" s="3251"/>
      <c r="F18" s="3251"/>
      <c r="G18" s="3251"/>
      <c r="H18" s="3251"/>
      <c r="I18" s="3251"/>
      <c r="J18" s="3251"/>
      <c r="K18" s="3251"/>
      <c r="L18" s="3251"/>
      <c r="M18" s="3251"/>
      <c r="N18" s="3251"/>
      <c r="O18" s="3251"/>
      <c r="P18" s="3251"/>
      <c r="Q18" s="3252"/>
      <c r="R18" s="3015"/>
      <c r="S18" s="2697"/>
    </row>
    <row r="19" spans="1:31" ht="11.25" customHeight="1">
      <c r="A19" s="3250" t="s">
        <v>2039</v>
      </c>
      <c r="B19" s="3251"/>
      <c r="C19" s="3251"/>
      <c r="D19" s="3251"/>
      <c r="E19" s="3251"/>
      <c r="F19" s="3251"/>
      <c r="G19" s="3251"/>
      <c r="H19" s="3251"/>
      <c r="I19" s="3251"/>
      <c r="J19" s="3251"/>
      <c r="K19" s="3251"/>
      <c r="L19" s="3251"/>
      <c r="M19" s="3251"/>
      <c r="N19" s="3251"/>
      <c r="O19" s="3251"/>
      <c r="P19" s="3251"/>
      <c r="Q19" s="3252"/>
      <c r="R19" s="3015"/>
      <c r="S19" s="2697"/>
    </row>
    <row r="20" spans="1:31" ht="11.25" customHeight="1">
      <c r="A20" s="3250" t="s">
        <v>2040</v>
      </c>
      <c r="B20" s="3251"/>
      <c r="C20" s="3251"/>
      <c r="D20" s="3251"/>
      <c r="E20" s="3251"/>
      <c r="F20" s="3251"/>
      <c r="G20" s="3251"/>
      <c r="H20" s="3251"/>
      <c r="I20" s="3251"/>
      <c r="J20" s="3251"/>
      <c r="K20" s="3251"/>
      <c r="L20" s="3251"/>
      <c r="M20" s="3251"/>
      <c r="N20" s="3251"/>
      <c r="O20" s="3251"/>
      <c r="P20" s="3251"/>
      <c r="Q20" s="3252"/>
      <c r="R20" s="3015"/>
      <c r="S20" s="2697"/>
    </row>
    <row r="21" spans="1:31" ht="11.25" customHeight="1">
      <c r="A21" s="3250" t="s">
        <v>2041</v>
      </c>
      <c r="B21" s="3251"/>
      <c r="C21" s="3251"/>
      <c r="D21" s="3251"/>
      <c r="E21" s="3251"/>
      <c r="F21" s="3251"/>
      <c r="G21" s="3251"/>
      <c r="H21" s="3251"/>
      <c r="I21" s="3251"/>
      <c r="J21" s="3251"/>
      <c r="K21" s="3251"/>
      <c r="L21" s="3251"/>
      <c r="M21" s="3251"/>
      <c r="N21" s="3251"/>
      <c r="O21" s="3251"/>
      <c r="P21" s="3251"/>
      <c r="Q21" s="3252"/>
    </row>
    <row r="22" spans="1:31" ht="11.25" customHeight="1">
      <c r="A22" s="3250" t="s">
        <v>2042</v>
      </c>
      <c r="B22" s="3251"/>
      <c r="C22" s="3251"/>
      <c r="D22" s="3251"/>
      <c r="E22" s="3251"/>
      <c r="F22" s="3251"/>
      <c r="G22" s="3251"/>
      <c r="H22" s="3251"/>
      <c r="I22" s="3251"/>
      <c r="J22" s="3251"/>
      <c r="K22" s="3251"/>
      <c r="L22" s="3251"/>
      <c r="M22" s="3251"/>
      <c r="N22" s="3251"/>
      <c r="O22" s="3251"/>
      <c r="P22" s="3251"/>
      <c r="Q22" s="3252"/>
      <c r="R22" s="3015" t="s">
        <v>2048</v>
      </c>
      <c r="S22" s="2697"/>
    </row>
    <row r="23" spans="1:31" ht="11.25" customHeight="1">
      <c r="A23" s="3250" t="s">
        <v>2043</v>
      </c>
      <c r="B23" s="3251"/>
      <c r="C23" s="3251"/>
      <c r="D23" s="3251"/>
      <c r="E23" s="3251"/>
      <c r="F23" s="3251"/>
      <c r="G23" s="3251"/>
      <c r="H23" s="3251"/>
      <c r="I23" s="3251"/>
      <c r="J23" s="3251"/>
      <c r="K23" s="3251"/>
      <c r="L23" s="3251"/>
      <c r="M23" s="3251"/>
      <c r="N23" s="3251"/>
      <c r="O23" s="3251"/>
      <c r="P23" s="3251"/>
      <c r="Q23" s="3252"/>
      <c r="R23" s="3015"/>
      <c r="S23" s="2697"/>
    </row>
    <row r="24" spans="1:31" ht="11.25" customHeight="1">
      <c r="A24" s="3250" t="s">
        <v>2044</v>
      </c>
      <c r="B24" s="3251"/>
      <c r="C24" s="3251"/>
      <c r="D24" s="3251"/>
      <c r="E24" s="3251"/>
      <c r="F24" s="3251"/>
      <c r="G24" s="3251"/>
      <c r="H24" s="3251"/>
      <c r="I24" s="3251"/>
      <c r="J24" s="3251"/>
      <c r="K24" s="3251"/>
      <c r="L24" s="3251"/>
      <c r="M24" s="3251"/>
      <c r="N24" s="3251"/>
      <c r="O24" s="3251"/>
      <c r="P24" s="3251"/>
      <c r="Q24" s="3252"/>
      <c r="R24" s="3015"/>
      <c r="S24" s="2697"/>
    </row>
    <row r="25" spans="1:31" ht="11.25" customHeight="1">
      <c r="A25" s="3250" t="s">
        <v>2045</v>
      </c>
      <c r="B25" s="3251"/>
      <c r="C25" s="3251"/>
      <c r="D25" s="3251"/>
      <c r="E25" s="3251"/>
      <c r="F25" s="3251"/>
      <c r="G25" s="3251"/>
      <c r="H25" s="3251"/>
      <c r="I25" s="3251"/>
      <c r="J25" s="3251"/>
      <c r="K25" s="3251"/>
      <c r="L25" s="3251"/>
      <c r="M25" s="3251"/>
      <c r="N25" s="3251"/>
      <c r="O25" s="3251"/>
      <c r="P25" s="3251"/>
      <c r="Q25" s="3252"/>
      <c r="R25" s="3015"/>
      <c r="S25" s="2697"/>
    </row>
    <row r="26" spans="1:31" ht="11.25" customHeight="1">
      <c r="A26" s="3250" t="s">
        <v>2046</v>
      </c>
      <c r="B26" s="3251"/>
      <c r="C26" s="3251"/>
      <c r="D26" s="3251"/>
      <c r="E26" s="3251"/>
      <c r="F26" s="3251"/>
      <c r="G26" s="3251"/>
      <c r="H26" s="3251"/>
      <c r="I26" s="3251"/>
      <c r="J26" s="3251"/>
      <c r="K26" s="3251"/>
      <c r="L26" s="3251"/>
      <c r="M26" s="3251"/>
      <c r="N26" s="3251"/>
      <c r="O26" s="3251"/>
      <c r="P26" s="3251"/>
      <c r="Q26" s="3252"/>
      <c r="R26" s="3015"/>
      <c r="S26" s="2697"/>
    </row>
    <row r="27" spans="1:31" ht="11.25" customHeight="1">
      <c r="A27" s="3262" t="s">
        <v>2047</v>
      </c>
      <c r="B27" s="3263"/>
      <c r="C27" s="3263"/>
      <c r="D27" s="3263"/>
      <c r="E27" s="3263"/>
      <c r="F27" s="3263"/>
      <c r="G27" s="3263"/>
      <c r="H27" s="3263"/>
      <c r="I27" s="3263"/>
      <c r="J27" s="3263"/>
      <c r="K27" s="3263"/>
      <c r="L27" s="3263"/>
      <c r="M27" s="3263"/>
      <c r="N27" s="3263"/>
      <c r="O27" s="3263"/>
      <c r="P27" s="3263"/>
      <c r="Q27" s="3264"/>
      <c r="R27" s="3015"/>
      <c r="S27" s="2697"/>
    </row>
    <row r="28" spans="1:31" ht="6" customHeight="1"/>
    <row r="29" spans="1:31" ht="13.9" customHeight="1">
      <c r="A29" s="133" t="s">
        <v>622</v>
      </c>
      <c r="B29" s="134" t="s">
        <v>2669</v>
      </c>
      <c r="C29" s="135"/>
      <c r="D29" s="89"/>
      <c r="E29" s="89"/>
      <c r="F29" s="89"/>
      <c r="G29" s="89"/>
      <c r="I29" s="1597"/>
      <c r="J29" s="1597"/>
      <c r="K29" s="1597"/>
      <c r="L29" s="1586"/>
      <c r="M29" s="1586"/>
      <c r="O29" s="136" t="s">
        <v>1882</v>
      </c>
      <c r="P29" s="3096"/>
      <c r="Q29" s="3124"/>
    </row>
    <row r="30" spans="1:31" ht="3" customHeight="1"/>
    <row r="31" spans="1:31" ht="11.25" customHeight="1">
      <c r="B31" s="69" t="s">
        <v>3781</v>
      </c>
      <c r="C31" s="69"/>
      <c r="D31" s="69"/>
      <c r="E31" s="69"/>
      <c r="F31" s="69"/>
      <c r="G31" s="1597"/>
      <c r="H31" s="1597"/>
      <c r="I31" s="1597"/>
      <c r="J31" s="1597"/>
      <c r="K31" s="1586"/>
      <c r="L31" s="1586"/>
      <c r="M31" s="1586"/>
      <c r="N31" s="1586"/>
      <c r="O31" s="1586"/>
      <c r="P31" s="955"/>
      <c r="S31" s="163"/>
      <c r="T31" s="163"/>
    </row>
    <row r="32" spans="1:31" ht="137.25" customHeight="1">
      <c r="A32" s="3101" t="s">
        <v>4744</v>
      </c>
      <c r="B32" s="3102"/>
      <c r="C32" s="3102"/>
      <c r="D32" s="3102"/>
      <c r="E32" s="3102"/>
      <c r="F32" s="3102"/>
      <c r="G32" s="3102"/>
      <c r="H32" s="3102"/>
      <c r="I32" s="3102"/>
      <c r="J32" s="3102"/>
      <c r="K32" s="3102"/>
      <c r="L32" s="3102"/>
      <c r="M32" s="3102"/>
      <c r="N32" s="3102"/>
      <c r="O32" s="3102"/>
      <c r="P32" s="3102"/>
      <c r="Q32" s="3103"/>
      <c r="R32" s="461" t="s">
        <v>1266</v>
      </c>
      <c r="S32" s="462"/>
      <c r="T32" s="163"/>
      <c r="U32" s="140"/>
      <c r="V32" s="140"/>
      <c r="W32" s="140"/>
      <c r="X32" s="140"/>
      <c r="Y32" s="140"/>
      <c r="Z32" s="140"/>
      <c r="AA32" s="140"/>
      <c r="AB32" s="140"/>
      <c r="AC32" s="140"/>
      <c r="AD32" s="140"/>
      <c r="AE32" s="486"/>
    </row>
    <row r="33" spans="1:295" ht="11.25" customHeight="1">
      <c r="B33" s="141" t="s">
        <v>1881</v>
      </c>
      <c r="C33" s="142"/>
      <c r="D33" s="1588"/>
      <c r="E33" s="1588"/>
      <c r="F33" s="1588"/>
      <c r="G33" s="1588"/>
      <c r="H33" s="1588"/>
      <c r="I33" s="1588"/>
      <c r="J33" s="1588"/>
      <c r="K33" s="1588"/>
      <c r="L33" s="1588"/>
      <c r="M33" s="1588"/>
      <c r="N33" s="1588"/>
      <c r="O33" s="1588"/>
      <c r="P33" s="1588"/>
    </row>
    <row r="34" spans="1:295" ht="36" customHeight="1">
      <c r="A34" s="3281"/>
      <c r="B34" s="3281"/>
      <c r="C34" s="3281"/>
      <c r="D34" s="3281"/>
      <c r="E34" s="3281"/>
      <c r="F34" s="3281"/>
      <c r="G34" s="3281"/>
      <c r="H34" s="3281"/>
      <c r="I34" s="3281"/>
      <c r="J34" s="3281"/>
      <c r="K34" s="3281"/>
      <c r="L34" s="3281"/>
      <c r="M34" s="3281"/>
      <c r="N34" s="3281"/>
      <c r="O34" s="3281"/>
      <c r="P34" s="3281"/>
      <c r="Q34" s="3281"/>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2731</v>
      </c>
      <c r="C36" s="4"/>
      <c r="D36" s="4"/>
      <c r="E36" s="1588"/>
      <c r="G36" s="652"/>
      <c r="H36" s="652"/>
      <c r="I36" s="652"/>
      <c r="J36" s="43"/>
      <c r="L36" s="653"/>
      <c r="M36" s="653"/>
      <c r="N36" s="653"/>
      <c r="O36" s="136" t="s">
        <v>1882</v>
      </c>
      <c r="P36" s="3096"/>
      <c r="Q36" s="3124"/>
    </row>
    <row r="37" spans="1:295" ht="11.25" customHeight="1">
      <c r="A37" s="3282" t="s">
        <v>3475</v>
      </c>
      <c r="B37" s="3282"/>
      <c r="C37" s="3282"/>
      <c r="D37" s="3282"/>
      <c r="E37" s="3282"/>
      <c r="F37" s="3282"/>
      <c r="G37" s="3283" t="s">
        <v>2735</v>
      </c>
      <c r="H37" s="3284"/>
      <c r="I37" s="656"/>
      <c r="J37" s="43"/>
      <c r="K37" s="3285" t="s">
        <v>3661</v>
      </c>
      <c r="L37" s="3286"/>
      <c r="M37" s="3286"/>
      <c r="N37" s="3287"/>
    </row>
    <row r="38" spans="1:295" ht="11.25" customHeight="1">
      <c r="A38" s="3282"/>
      <c r="B38" s="3282"/>
      <c r="C38" s="3282"/>
      <c r="D38" s="3282"/>
      <c r="E38" s="3282"/>
      <c r="F38" s="3282"/>
      <c r="G38" s="3288" t="s">
        <v>348</v>
      </c>
      <c r="H38" s="3289"/>
      <c r="I38" s="656"/>
      <c r="J38" s="43"/>
      <c r="K38" s="3206" t="s">
        <v>3662</v>
      </c>
      <c r="L38" s="3207"/>
      <c r="M38" s="3207"/>
      <c r="N38" s="3208"/>
      <c r="P38" s="545" t="s">
        <v>2755</v>
      </c>
      <c r="Q38" s="2210"/>
    </row>
    <row r="39" spans="1:295" ht="4.5" customHeight="1">
      <c r="A39" s="3282"/>
      <c r="B39" s="3282"/>
      <c r="C39" s="3282"/>
      <c r="D39" s="3282"/>
      <c r="E39" s="3282"/>
      <c r="F39" s="3282"/>
      <c r="G39" s="222"/>
      <c r="H39" s="222"/>
      <c r="I39" s="222"/>
      <c r="J39" s="43"/>
      <c r="K39" s="3275"/>
      <c r="L39" s="3275"/>
      <c r="M39" s="3275"/>
      <c r="N39" s="3275"/>
    </row>
    <row r="40" spans="1:295" s="85" customFormat="1" ht="10.5" customHeight="1">
      <c r="D40" s="657" t="s">
        <v>2734</v>
      </c>
      <c r="E40" s="36"/>
      <c r="F40" s="658" t="s">
        <v>3477</v>
      </c>
      <c r="G40" s="3276" t="s">
        <v>3476</v>
      </c>
      <c r="H40" s="3276"/>
      <c r="I40" s="3276"/>
      <c r="J40" s="36"/>
      <c r="K40" s="658" t="s">
        <v>3477</v>
      </c>
      <c r="L40" s="3276" t="s">
        <v>3476</v>
      </c>
      <c r="M40" s="3276"/>
      <c r="N40" s="3276"/>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40" t="s">
        <v>3381</v>
      </c>
      <c r="B41" s="3240"/>
      <c r="C41" s="324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130802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143882</v>
      </c>
      <c r="M41" s="41" t="str">
        <f>CONCATENATE("x ", K41," units = ")</f>
        <v xml:space="preserve">x 0 units = </v>
      </c>
      <c r="N41" s="906">
        <f>K41*L41</f>
        <v>0</v>
      </c>
      <c r="O41" s="1588"/>
      <c r="P41" s="3232" t="s">
        <v>3924</v>
      </c>
      <c r="Q41" s="323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40"/>
      <c r="B42" s="3240"/>
      <c r="C42" s="3240"/>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170775</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187852</v>
      </c>
      <c r="M42" s="41" t="str">
        <f>CONCATENATE("x ", K42," units = ")</f>
        <v xml:space="preserve">x 0 units = </v>
      </c>
      <c r="N42" s="906">
        <f>K42*L42</f>
        <v>0</v>
      </c>
      <c r="O42" s="1588"/>
      <c r="P42" s="3277" t="str">
        <f>IF('Part I-Project Information'!$F$38="","",VLOOKUP('Part I-Project Information'!$J$39,'DCA Underwriting Assumptions'!$G$155:$N$314,8,FALSE))</f>
        <v>Columbus</v>
      </c>
      <c r="Q42" s="3278"/>
      <c r="R42" s="422"/>
      <c r="S42" s="3265" t="s">
        <v>4137</v>
      </c>
      <c r="T42" s="3265"/>
      <c r="U42" s="3265"/>
      <c r="V42" s="326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40"/>
      <c r="B43" s="3240"/>
      <c r="C43" s="3240"/>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206839</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227522</v>
      </c>
      <c r="M43" s="41" t="str">
        <f>CONCATENATE("x ", K43," units = ")</f>
        <v xml:space="preserve">x 0 units = </v>
      </c>
      <c r="N43" s="906">
        <f>K43*L43</f>
        <v>0</v>
      </c>
      <c r="O43" s="1588"/>
      <c r="P43" s="3279"/>
      <c r="Q43" s="3280"/>
      <c r="S43" s="3265"/>
      <c r="T43" s="3265"/>
      <c r="U43" s="3265"/>
      <c r="V43" s="326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40"/>
      <c r="B44" s="3240"/>
      <c r="C44" s="3240"/>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252134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277347</v>
      </c>
      <c r="M44" s="41" t="str">
        <f>CONCATENATE("x ", K44," units = ")</f>
        <v xml:space="preserve">x 0 units = </v>
      </c>
      <c r="N44" s="906">
        <f>K44*L44</f>
        <v>0</v>
      </c>
      <c r="O44" s="1588"/>
      <c r="P44" s="3155" t="s">
        <v>3658</v>
      </c>
      <c r="Q44" s="3155"/>
      <c r="S44" s="3265"/>
      <c r="T44" s="3265"/>
      <c r="U44" s="3265"/>
      <c r="V44" s="326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296415</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326056</v>
      </c>
      <c r="M45" s="41" t="str">
        <f>CONCATENATE("x ", K45," units = ")</f>
        <v xml:space="preserve">x 0 units = </v>
      </c>
      <c r="N45" s="906">
        <f>K45*L45</f>
        <v>0</v>
      </c>
      <c r="O45" s="1588"/>
      <c r="P45" s="3241">
        <f>'Part IV-A-Uses of Funds'!$G$132</f>
        <v>16105048</v>
      </c>
      <c r="Q45" s="3242"/>
      <c r="S45" s="3265"/>
      <c r="T45" s="3265"/>
      <c r="U45" s="3265"/>
      <c r="V45" s="326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3391</v>
      </c>
      <c r="E46" s="137"/>
      <c r="F46" s="1198">
        <f>SUM(F41:F45)</f>
        <v>0</v>
      </c>
      <c r="G46" s="659"/>
      <c r="H46" s="1199"/>
      <c r="I46" s="1200">
        <f>SUM(I41:I45)</f>
        <v>0</v>
      </c>
      <c r="J46" s="1201"/>
      <c r="K46" s="1198">
        <f>SUM(K41:K45)</f>
        <v>0</v>
      </c>
      <c r="L46" s="1201"/>
      <c r="M46" s="1199"/>
      <c r="N46" s="1200">
        <f>SUM(N41:N45)</f>
        <v>0</v>
      </c>
      <c r="O46" s="1588"/>
      <c r="P46" s="3243"/>
      <c r="Q46" s="3244"/>
      <c r="S46" s="3265"/>
      <c r="T46" s="3265"/>
      <c r="U46" s="3265"/>
      <c r="V46" s="326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3265"/>
      <c r="T47" s="3265"/>
      <c r="U47" s="3265"/>
      <c r="V47" s="326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40" t="s">
        <v>3376</v>
      </c>
      <c r="B48" s="3240"/>
      <c r="C48" s="324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120709</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132779</v>
      </c>
      <c r="M48" s="41" t="str">
        <f>CONCATENATE("x ", K48," units = ")</f>
        <v xml:space="preserve">x 0 units = </v>
      </c>
      <c r="N48" s="906">
        <f>K48*L48</f>
        <v>0</v>
      </c>
      <c r="P48" s="3245" t="s">
        <v>4136</v>
      </c>
      <c r="Q48" s="3245"/>
      <c r="S48" s="3265"/>
      <c r="T48" s="3265"/>
      <c r="U48" s="3265"/>
      <c r="V48" s="326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40"/>
      <c r="B49" s="3240"/>
      <c r="C49" s="3240"/>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157663</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173429</v>
      </c>
      <c r="M49" s="41" t="str">
        <f>CONCATENATE("x ", K49," units = ")</f>
        <v xml:space="preserve">x 0 units = </v>
      </c>
      <c r="N49" s="906">
        <f>K49*L49</f>
        <v>0</v>
      </c>
      <c r="P49" s="3246"/>
      <c r="Q49" s="3247"/>
      <c r="S49" s="3265"/>
      <c r="T49" s="3265"/>
      <c r="U49" s="3265"/>
      <c r="V49" s="326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40"/>
      <c r="B50" s="3240"/>
      <c r="C50" s="3240"/>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191271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210398</v>
      </c>
      <c r="M50" s="41" t="str">
        <f>CONCATENATE("x ", K50," units = ")</f>
        <v xml:space="preserve">x 0 units = </v>
      </c>
      <c r="N50" s="906">
        <f>K50*L50</f>
        <v>0</v>
      </c>
      <c r="O50" s="595"/>
      <c r="P50" s="3248"/>
      <c r="Q50" s="3249"/>
      <c r="R50" s="422"/>
      <c r="S50" s="3265"/>
      <c r="T50" s="3265"/>
      <c r="U50" s="3265"/>
      <c r="V50" s="326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233985</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257383</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277195</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304914</v>
      </c>
      <c r="M52" s="41" t="str">
        <f>CONCATENATE("x ", K52," units = ")</f>
        <v xml:space="preserve">x 0 units = </v>
      </c>
      <c r="N52" s="906">
        <f>K52*L52</f>
        <v>0</v>
      </c>
      <c r="O52" s="595"/>
      <c r="P52" s="3233" t="s">
        <v>3656</v>
      </c>
      <c r="Q52" s="323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3391</v>
      </c>
      <c r="E53" s="137"/>
      <c r="F53" s="1198">
        <f>SUM(F48:F52)</f>
        <v>0</v>
      </c>
      <c r="G53" s="659"/>
      <c r="H53" s="1199"/>
      <c r="I53" s="1200">
        <f>SUM(I48:I52)</f>
        <v>0</v>
      </c>
      <c r="J53" s="1201"/>
      <c r="K53" s="1198">
        <f>SUM(K48:K52)</f>
        <v>0</v>
      </c>
      <c r="L53" s="1201"/>
      <c r="M53" s="1199"/>
      <c r="N53" s="1200">
        <f>SUM(N48:N52)</f>
        <v>0</v>
      </c>
      <c r="O53" s="595"/>
      <c r="P53" s="1204" t="s">
        <v>3268</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3377</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105363</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115899</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145732</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160305</v>
      </c>
      <c r="M56" s="41" t="str">
        <f>CONCATENATE("x ", K56," units = ")</f>
        <v xml:space="preserve">x 0 units = </v>
      </c>
      <c r="N56" s="906">
        <f>K56*L56</f>
        <v>0</v>
      </c>
      <c r="P56" s="3233" t="s">
        <v>3657</v>
      </c>
      <c r="Q56" s="323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185085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203593</v>
      </c>
      <c r="M57" s="41" t="str">
        <f>CONCATENATE("x ", K57," units = ")</f>
        <v xml:space="preserve">x 0 units = </v>
      </c>
      <c r="N57" s="906">
        <f>K57*L57</f>
        <v>0</v>
      </c>
      <c r="P57" s="1204" t="s">
        <v>3268</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242207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266427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301908</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332098</v>
      </c>
      <c r="M59" s="41" t="str">
        <f>CONCATENATE("x ", K59," units = ")</f>
        <v xml:space="preserve">x 0 units = </v>
      </c>
      <c r="N59" s="906">
        <f>K59*L59</f>
        <v>0</v>
      </c>
      <c r="O59" s="595"/>
      <c r="P59" s="3234" t="s">
        <v>2790</v>
      </c>
      <c r="Q59" s="323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3391</v>
      </c>
      <c r="E60" s="137"/>
      <c r="F60" s="1198">
        <f>SUM(F55:F59)</f>
        <v>0</v>
      </c>
      <c r="G60" s="659"/>
      <c r="H60" s="1199"/>
      <c r="I60" s="1200">
        <f>SUM(I55:I59)</f>
        <v>0</v>
      </c>
      <c r="J60" s="1201"/>
      <c r="K60" s="1198">
        <f>SUM(K55:K59)</f>
        <v>0</v>
      </c>
      <c r="L60" s="1201"/>
      <c r="M60" s="1199"/>
      <c r="N60" s="1200">
        <f>SUM(N55:N59)</f>
        <v>0</v>
      </c>
      <c r="O60" s="595"/>
      <c r="P60" s="3234"/>
      <c r="Q60" s="323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3234"/>
      <c r="Q61" s="323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3378</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106284</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116912</v>
      </c>
      <c r="M62" s="41" t="str">
        <f>CONCATENATE("x ", K62," units = ")</f>
        <v xml:space="preserve">x 0 units = </v>
      </c>
      <c r="N62" s="906">
        <f>K62*L62</f>
        <v>0</v>
      </c>
      <c r="O62" s="595"/>
      <c r="P62" s="3235"/>
      <c r="Q62" s="323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10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148797</v>
      </c>
      <c r="H63" s="41" t="str">
        <f>CONCATENATE("x ", F63," units = ")</f>
        <v xml:space="preserve">x 10 units = </v>
      </c>
      <c r="I63" s="906">
        <f>F63*G63</f>
        <v>1487970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163676</v>
      </c>
      <c r="M63" s="41" t="str">
        <f>CONCATENATE("x ", K63," units = ")</f>
        <v xml:space="preserve">x 0 units = </v>
      </c>
      <c r="N63" s="906">
        <f>K63*L63</f>
        <v>0</v>
      </c>
      <c r="O63" s="595"/>
      <c r="P63" s="3236">
        <f>IF(P49&gt;1,P49, IF(OR('Part IX A-Scoring Criteria'!$O$67='Part IX A-Scoring Criteria'!$M$67,AND('Part IV-A-Uses of Funds'!$T$165="Yes",'Part IX A-Scoring Criteria'!$O$414&gt;0)),H69+M69,H69))</f>
        <v>16792844</v>
      </c>
      <c r="Q63" s="3237"/>
      <c r="R63" s="3216"/>
      <c r="S63" s="3217"/>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56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191311</v>
      </c>
      <c r="H64" s="41" t="str">
        <f>CONCATENATE("x ", F64," units = ")</f>
        <v xml:space="preserve">x 56 units = </v>
      </c>
      <c r="I64" s="906">
        <f>F64*G64</f>
        <v>10713416</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210442</v>
      </c>
      <c r="M64" s="41" t="str">
        <f>CONCATENATE("x ", K64," units = ")</f>
        <v xml:space="preserve">x 0 units = </v>
      </c>
      <c r="N64" s="906">
        <f>K64*L64</f>
        <v>0</v>
      </c>
      <c r="P64" s="3238"/>
      <c r="Q64" s="3239"/>
      <c r="R64" s="3216"/>
      <c r="S64" s="3217"/>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18</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255081</v>
      </c>
      <c r="H65" s="41" t="str">
        <f>CONCATENATE("x ", F65," units = ")</f>
        <v xml:space="preserve">x 18 units = </v>
      </c>
      <c r="I65" s="906">
        <f>F65*G65</f>
        <v>4591458</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280589</v>
      </c>
      <c r="M65" s="41" t="str">
        <f>CONCATENATE("x ", K65," units = ")</f>
        <v xml:space="preserve">x 0 units = </v>
      </c>
      <c r="N65" s="906">
        <f>K65*L65</f>
        <v>0</v>
      </c>
      <c r="P65" s="3227" t="s">
        <v>4296</v>
      </c>
      <c r="Q65" s="3227"/>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318851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350736</v>
      </c>
      <c r="M66" s="41" t="str">
        <f>CONCATENATE("x ", K66," units = ")</f>
        <v xml:space="preserve">x 0 units = </v>
      </c>
      <c r="N66" s="906">
        <f>K66*L66</f>
        <v>0</v>
      </c>
      <c r="O66" s="595"/>
      <c r="P66" s="3227"/>
      <c r="Q66" s="3227"/>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3391</v>
      </c>
      <c r="E67" s="137"/>
      <c r="F67" s="1198">
        <f>SUM(F62:F66)</f>
        <v>84</v>
      </c>
      <c r="G67" s="659"/>
      <c r="H67" s="1199"/>
      <c r="I67" s="1202">
        <f>SUM(I62:I66)</f>
        <v>16792844</v>
      </c>
      <c r="J67" s="1201"/>
      <c r="K67" s="1198">
        <f>SUM(K62:K66)</f>
        <v>0</v>
      </c>
      <c r="L67" s="1201"/>
      <c r="M67" s="1199"/>
      <c r="N67" s="1202">
        <f>SUM(N62:N66)</f>
        <v>0</v>
      </c>
      <c r="O67" s="595"/>
      <c r="P67" s="3227"/>
      <c r="Q67" s="3227"/>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3227"/>
      <c r="Q68" s="3227"/>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50">
        <f>F46+F53+F60+F67</f>
        <v>84</v>
      </c>
      <c r="G69" s="346"/>
      <c r="H69" s="3231">
        <f>I46+I53+I60+I67</f>
        <v>16792844</v>
      </c>
      <c r="I69" s="3231"/>
      <c r="J69" s="3231"/>
      <c r="K69" s="650">
        <f>K46+K53+K60+K67</f>
        <v>0</v>
      </c>
      <c r="L69" s="651"/>
      <c r="M69" s="3231">
        <f>N46+N53+N60+N67</f>
        <v>0</v>
      </c>
      <c r="N69" s="3231"/>
      <c r="O69" s="3231"/>
      <c r="P69" s="3227"/>
      <c r="Q69" s="3227"/>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7"/>
      <c r="J70" s="1597"/>
      <c r="K70" s="141" t="s">
        <v>1881</v>
      </c>
      <c r="L70" s="1586"/>
      <c r="M70" s="1586"/>
      <c r="N70" s="1586"/>
      <c r="O70" s="1586"/>
      <c r="P70" s="1586"/>
      <c r="Q70" s="955"/>
    </row>
    <row r="71" spans="1:295" ht="64.5" customHeight="1">
      <c r="A71" s="3101" t="s">
        <v>4738</v>
      </c>
      <c r="B71" s="3102"/>
      <c r="C71" s="3102"/>
      <c r="D71" s="3102"/>
      <c r="E71" s="3102"/>
      <c r="F71" s="3102"/>
      <c r="G71" s="3102"/>
      <c r="H71" s="3102"/>
      <c r="I71" s="3102"/>
      <c r="J71" s="3103"/>
      <c r="K71" s="3093"/>
      <c r="L71" s="3094"/>
      <c r="M71" s="3094"/>
      <c r="N71" s="3094"/>
      <c r="O71" s="3094"/>
      <c r="P71" s="3094"/>
      <c r="Q71" s="3095"/>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228" t="str">
        <f>'Part I-Project Information'!$H$78</f>
        <v>Family</v>
      </c>
      <c r="K73" s="3229"/>
      <c r="L73" s="3230"/>
      <c r="O73" s="136" t="s">
        <v>1882</v>
      </c>
      <c r="P73" s="3096"/>
      <c r="Q73" s="3124"/>
    </row>
    <row r="74" spans="1:295" ht="10.5" customHeight="1">
      <c r="B74" s="98" t="s">
        <v>3781</v>
      </c>
      <c r="D74" s="98"/>
      <c r="E74" s="98"/>
      <c r="F74" s="98"/>
      <c r="G74" s="98"/>
      <c r="H74" s="41"/>
      <c r="I74" s="1597"/>
      <c r="J74" s="1597"/>
      <c r="K74" s="141" t="s">
        <v>1881</v>
      </c>
      <c r="L74" s="1586"/>
      <c r="M74" s="1586"/>
      <c r="N74" s="1586"/>
      <c r="O74" s="1586"/>
      <c r="P74" s="1586"/>
      <c r="Q74" s="955"/>
    </row>
    <row r="75" spans="1:295" ht="10.5" customHeight="1">
      <c r="A75" s="3101" t="s">
        <v>4612</v>
      </c>
      <c r="B75" s="3102"/>
      <c r="C75" s="3102"/>
      <c r="D75" s="3102"/>
      <c r="E75" s="3102"/>
      <c r="F75" s="3102"/>
      <c r="G75" s="3102"/>
      <c r="H75" s="3102"/>
      <c r="I75" s="3102"/>
      <c r="J75" s="3103"/>
      <c r="K75" s="3093"/>
      <c r="L75" s="3094"/>
      <c r="M75" s="3094"/>
      <c r="N75" s="3094"/>
      <c r="O75" s="3094"/>
      <c r="P75" s="3094"/>
      <c r="Q75" s="3095"/>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2670</v>
      </c>
      <c r="C77" s="116"/>
      <c r="D77" s="1588"/>
      <c r="E77" s="1588"/>
      <c r="F77" s="1588"/>
      <c r="G77" s="1588"/>
      <c r="H77" s="1588"/>
      <c r="I77" s="1588"/>
      <c r="J77" s="1588"/>
      <c r="K77" s="1588"/>
      <c r="L77" s="1588"/>
      <c r="M77" s="1588"/>
      <c r="O77" s="136" t="s">
        <v>1882</v>
      </c>
      <c r="P77" s="3096"/>
      <c r="Q77" s="3124"/>
    </row>
    <row r="78" spans="1:295" ht="1.5" customHeight="1"/>
    <row r="79" spans="1:295" ht="10.5" customHeight="1">
      <c r="A79" s="146" t="s">
        <v>2000</v>
      </c>
      <c r="B79" s="405" t="s">
        <v>3771</v>
      </c>
      <c r="D79" s="1003"/>
      <c r="E79" s="1003"/>
      <c r="F79" s="1003"/>
      <c r="G79" s="1003"/>
      <c r="H79" s="1003"/>
      <c r="I79" s="1003"/>
      <c r="K79" s="1003"/>
      <c r="L79" s="1003"/>
      <c r="M79" s="1004" t="s">
        <v>3724</v>
      </c>
      <c r="O79" s="147"/>
      <c r="P79" s="2210" t="s">
        <v>4553</v>
      </c>
    </row>
    <row r="80" spans="1:295" ht="10.5" customHeight="1">
      <c r="A80" s="48" t="s">
        <v>2002</v>
      </c>
      <c r="B80" s="956" t="s">
        <v>3770</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2725</v>
      </c>
      <c r="J81" s="3218" t="s">
        <v>4610</v>
      </c>
      <c r="K81" s="3219"/>
      <c r="L81" s="3219"/>
      <c r="M81" s="3219"/>
      <c r="N81" s="3219"/>
      <c r="O81" s="3219"/>
      <c r="P81" s="3219"/>
      <c r="Q81" s="3220"/>
    </row>
    <row r="82" spans="1:31" ht="10.9" customHeight="1">
      <c r="A82" s="148"/>
      <c r="B82" s="68" t="s">
        <v>1751</v>
      </c>
      <c r="C82" s="956" t="s">
        <v>3606</v>
      </c>
      <c r="E82" s="1594"/>
      <c r="F82" s="1594"/>
      <c r="G82" s="1594"/>
      <c r="H82" s="34"/>
      <c r="I82" s="37" t="s">
        <v>2725</v>
      </c>
      <c r="J82" s="3221" t="s">
        <v>4611</v>
      </c>
      <c r="K82" s="3222"/>
      <c r="L82" s="3222"/>
      <c r="M82" s="3222"/>
      <c r="N82" s="3222"/>
      <c r="O82" s="3222"/>
      <c r="P82" s="3222"/>
      <c r="Q82" s="3223"/>
    </row>
    <row r="83" spans="1:31" ht="10.9" customHeight="1">
      <c r="A83" s="148"/>
      <c r="B83" s="68" t="s">
        <v>1752</v>
      </c>
      <c r="C83" s="956" t="s">
        <v>3607</v>
      </c>
      <c r="E83" s="1594"/>
      <c r="F83" s="1594"/>
      <c r="G83" s="1594"/>
      <c r="H83" s="34"/>
      <c r="I83" s="37" t="s">
        <v>2725</v>
      </c>
      <c r="J83" s="3221"/>
      <c r="K83" s="3222"/>
      <c r="L83" s="3222"/>
      <c r="M83" s="3222"/>
      <c r="N83" s="3222"/>
      <c r="O83" s="3222"/>
      <c r="P83" s="3222"/>
      <c r="Q83" s="3223"/>
    </row>
    <row r="84" spans="1:31" ht="10.9" customHeight="1">
      <c r="A84" s="148"/>
      <c r="B84" s="484" t="s">
        <v>2382</v>
      </c>
      <c r="C84" s="956" t="s">
        <v>3935</v>
      </c>
      <c r="E84" s="1594"/>
      <c r="I84" s="37" t="s">
        <v>2725</v>
      </c>
      <c r="J84" s="3224"/>
      <c r="K84" s="3225"/>
      <c r="L84" s="3225"/>
      <c r="M84" s="3225"/>
      <c r="N84" s="3225"/>
      <c r="O84" s="3225"/>
      <c r="P84" s="3225"/>
      <c r="Q84" s="3226"/>
    </row>
    <row r="85" spans="1:31" ht="10.9" customHeight="1">
      <c r="A85" s="48" t="s">
        <v>757</v>
      </c>
      <c r="B85" s="41" t="s">
        <v>3592</v>
      </c>
      <c r="D85" s="956"/>
      <c r="E85" s="1594"/>
      <c r="J85" s="37"/>
      <c r="K85" s="37"/>
      <c r="L85" s="37"/>
      <c r="M85" s="37"/>
      <c r="N85" s="37"/>
      <c r="O85" s="37"/>
      <c r="P85" s="37"/>
      <c r="Q85" s="37"/>
    </row>
    <row r="86" spans="1:31" ht="10.9" customHeight="1">
      <c r="A86" s="148"/>
      <c r="B86" s="56" t="s">
        <v>3926</v>
      </c>
      <c r="D86" s="138"/>
      <c r="E86" s="138"/>
      <c r="F86" s="138"/>
      <c r="G86" s="138"/>
      <c r="H86" s="138"/>
      <c r="I86" s="43"/>
      <c r="J86" s="43"/>
      <c r="K86" s="484" t="s">
        <v>757</v>
      </c>
      <c r="L86" s="3125"/>
      <c r="M86" s="3126"/>
      <c r="N86" s="3126"/>
      <c r="O86" s="3126"/>
      <c r="P86" s="3127"/>
      <c r="Q86" s="560"/>
    </row>
    <row r="87" spans="1:31" ht="10.5" customHeight="1">
      <c r="B87" s="98" t="s">
        <v>3781</v>
      </c>
      <c r="D87" s="98"/>
      <c r="E87" s="98"/>
      <c r="F87" s="98"/>
      <c r="G87" s="98"/>
      <c r="H87" s="41"/>
      <c r="I87" s="1597"/>
      <c r="J87" s="1597"/>
      <c r="K87" s="141" t="s">
        <v>1881</v>
      </c>
      <c r="L87" s="1586"/>
      <c r="M87" s="1586"/>
      <c r="N87" s="1586"/>
      <c r="O87" s="1586"/>
      <c r="P87" s="1586"/>
      <c r="Q87" s="955"/>
    </row>
    <row r="88" spans="1:31" ht="10.5" customHeight="1">
      <c r="A88" s="3101" t="s">
        <v>4609</v>
      </c>
      <c r="B88" s="3102"/>
      <c r="C88" s="3102"/>
      <c r="D88" s="3102"/>
      <c r="E88" s="3102"/>
      <c r="F88" s="3102"/>
      <c r="G88" s="3102"/>
      <c r="H88" s="3102"/>
      <c r="I88" s="3102"/>
      <c r="J88" s="3103"/>
      <c r="K88" s="3093"/>
      <c r="L88" s="3094"/>
      <c r="M88" s="3094"/>
      <c r="N88" s="3094"/>
      <c r="O88" s="3094"/>
      <c r="P88" s="3094"/>
      <c r="Q88" s="3095"/>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2671</v>
      </c>
      <c r="C90" s="1583"/>
      <c r="D90" s="1588"/>
      <c r="E90" s="1588"/>
      <c r="F90" s="1588"/>
      <c r="G90" s="1588"/>
      <c r="H90" s="1588"/>
      <c r="I90" s="1588"/>
      <c r="J90" s="1588"/>
      <c r="K90" s="1588"/>
      <c r="O90" s="136" t="s">
        <v>1882</v>
      </c>
      <c r="P90" s="3096"/>
      <c r="Q90" s="3124"/>
    </row>
    <row r="91" spans="1:31" ht="3" customHeight="1"/>
    <row r="92" spans="1:31" ht="10.5" customHeight="1">
      <c r="A92" s="48" t="s">
        <v>2000</v>
      </c>
      <c r="B92" s="149" t="s">
        <v>2477</v>
      </c>
      <c r="D92" s="138"/>
      <c r="E92" s="138"/>
      <c r="F92" s="138"/>
      <c r="G92" s="138"/>
      <c r="H92" s="138"/>
      <c r="I92" s="43"/>
      <c r="J92" s="43"/>
      <c r="K92" s="43"/>
      <c r="L92" s="484" t="s">
        <v>2000</v>
      </c>
      <c r="M92" s="3118" t="s">
        <v>4608</v>
      </c>
      <c r="N92" s="3119"/>
      <c r="O92" s="3119"/>
      <c r="P92" s="3209"/>
      <c r="Q92" s="561"/>
    </row>
    <row r="93" spans="1:31" ht="10.5" customHeight="1">
      <c r="A93" s="48" t="s">
        <v>2002</v>
      </c>
      <c r="B93" s="53" t="s">
        <v>2053</v>
      </c>
      <c r="D93" s="138"/>
      <c r="E93" s="138"/>
      <c r="F93" s="138"/>
      <c r="L93" s="484" t="s">
        <v>2002</v>
      </c>
      <c r="M93" s="3210" t="s">
        <v>4696</v>
      </c>
      <c r="N93" s="3211"/>
      <c r="O93" s="3211"/>
      <c r="P93" s="3212"/>
      <c r="Q93" s="562"/>
    </row>
    <row r="94" spans="1:31" ht="10.5" customHeight="1">
      <c r="A94" s="48" t="s">
        <v>757</v>
      </c>
      <c r="B94" s="53" t="s">
        <v>2899</v>
      </c>
      <c r="D94" s="138"/>
      <c r="E94" s="138"/>
      <c r="F94" s="138"/>
      <c r="L94" s="484" t="s">
        <v>757</v>
      </c>
      <c r="M94" s="3213">
        <v>0.96099999999999997</v>
      </c>
      <c r="N94" s="3214"/>
      <c r="O94" s="3214"/>
      <c r="P94" s="3215"/>
      <c r="Q94" s="562"/>
    </row>
    <row r="95" spans="1:31" ht="10.5" customHeight="1">
      <c r="A95" s="48" t="s">
        <v>2132</v>
      </c>
      <c r="B95" s="53" t="s">
        <v>3928</v>
      </c>
      <c r="D95" s="138"/>
      <c r="E95" s="138"/>
      <c r="F95" s="138"/>
      <c r="L95" s="484" t="s">
        <v>3929</v>
      </c>
      <c r="M95" s="2258">
        <v>2.9000000000000001E-2</v>
      </c>
      <c r="N95" s="1205"/>
      <c r="O95" s="1206" t="s">
        <v>4179</v>
      </c>
      <c r="P95" s="2259">
        <v>1.2E-2</v>
      </c>
      <c r="Q95" s="563"/>
    </row>
    <row r="96" spans="1:31" ht="10.5" customHeight="1">
      <c r="A96" s="146" t="s">
        <v>1748</v>
      </c>
      <c r="B96" s="144" t="s">
        <v>3927</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2260" t="s">
        <v>4697</v>
      </c>
      <c r="E98" s="3197" t="s">
        <v>2016</v>
      </c>
      <c r="F98" s="3197"/>
      <c r="G98" s="3197"/>
      <c r="H98" s="68" t="s">
        <v>1752</v>
      </c>
      <c r="I98" s="2260" t="s">
        <v>4700</v>
      </c>
      <c r="J98" s="3197" t="s">
        <v>4699</v>
      </c>
      <c r="K98" s="3197"/>
      <c r="L98" s="3197"/>
      <c r="M98" s="67" t="s">
        <v>1561</v>
      </c>
      <c r="N98" s="2260" t="s">
        <v>4704</v>
      </c>
      <c r="O98" s="3197" t="s">
        <v>4703</v>
      </c>
      <c r="P98" s="3197"/>
      <c r="Q98" s="3197"/>
    </row>
    <row r="99" spans="1:31" ht="10.5" customHeight="1">
      <c r="C99" s="68" t="s">
        <v>1751</v>
      </c>
      <c r="D99" s="2261" t="s">
        <v>4698</v>
      </c>
      <c r="E99" s="3198" t="s">
        <v>4695</v>
      </c>
      <c r="F99" s="3198"/>
      <c r="G99" s="3198"/>
      <c r="H99" s="484" t="s">
        <v>2382</v>
      </c>
      <c r="I99" s="2261" t="s">
        <v>4702</v>
      </c>
      <c r="J99" s="3198" t="s">
        <v>4701</v>
      </c>
      <c r="K99" s="3198"/>
      <c r="L99" s="3198"/>
      <c r="M99" s="67" t="s">
        <v>1562</v>
      </c>
      <c r="N99" s="2261" t="s">
        <v>4708</v>
      </c>
      <c r="O99" s="3198" t="s">
        <v>4709</v>
      </c>
      <c r="P99" s="3198"/>
      <c r="Q99" s="3198"/>
    </row>
    <row r="100" spans="1:31" ht="10.5" customHeight="1">
      <c r="A100" s="48" t="s">
        <v>1749</v>
      </c>
      <c r="B100" s="53" t="s">
        <v>0</v>
      </c>
      <c r="D100" s="138"/>
      <c r="E100" s="138"/>
      <c r="F100" s="138"/>
      <c r="G100" s="138"/>
      <c r="H100" s="138"/>
      <c r="I100" s="43"/>
      <c r="J100" s="43"/>
      <c r="K100" s="138"/>
      <c r="L100" s="1594"/>
      <c r="M100" s="1594"/>
      <c r="O100" s="484" t="s">
        <v>1749</v>
      </c>
      <c r="P100" s="2207" t="s">
        <v>3012</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3199" t="s">
        <v>3639</v>
      </c>
      <c r="C102" s="3199"/>
      <c r="D102" s="3199"/>
      <c r="E102" s="3199"/>
      <c r="F102" s="3199"/>
      <c r="G102" s="3199"/>
      <c r="H102" s="3199"/>
      <c r="I102" s="3199"/>
      <c r="J102" s="3199"/>
      <c r="K102" s="3199"/>
      <c r="L102" s="3199"/>
      <c r="M102" s="3199"/>
      <c r="N102" s="3199"/>
      <c r="O102" s="3199"/>
      <c r="P102" s="166" t="s">
        <v>1963</v>
      </c>
      <c r="Q102" s="1261"/>
      <c r="R102" s="952"/>
    </row>
    <row r="103" spans="1:31" s="406" customFormat="1" ht="21.75" customHeight="1">
      <c r="A103" s="146" t="s">
        <v>3393</v>
      </c>
      <c r="B103" s="3199" t="s">
        <v>2750</v>
      </c>
      <c r="C103" s="3199"/>
      <c r="D103" s="3199"/>
      <c r="E103" s="3199"/>
      <c r="F103" s="3199"/>
      <c r="G103" s="3199"/>
      <c r="H103" s="3199"/>
      <c r="I103" s="3199"/>
      <c r="J103" s="3199"/>
      <c r="K103" s="3199"/>
      <c r="L103" s="3199"/>
      <c r="M103" s="3199"/>
      <c r="N103" s="3199"/>
      <c r="O103" s="3199"/>
      <c r="P103" s="166" t="s">
        <v>3393</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3394</v>
      </c>
      <c r="B105" s="144" t="s">
        <v>3640</v>
      </c>
      <c r="L105" s="452"/>
      <c r="N105" s="391"/>
      <c r="P105" s="67" t="s">
        <v>3394</v>
      </c>
      <c r="Q105" s="1282"/>
      <c r="R105" s="1355"/>
    </row>
    <row r="106" spans="1:31" ht="9.75" customHeight="1">
      <c r="B106" s="145" t="s">
        <v>3781</v>
      </c>
      <c r="D106" s="145"/>
      <c r="E106" s="145"/>
      <c r="F106" s="145"/>
      <c r="G106" s="145"/>
      <c r="H106" s="41"/>
      <c r="I106" s="1597"/>
      <c r="J106" s="1597"/>
      <c r="K106" s="1597"/>
      <c r="L106" s="1586"/>
      <c r="M106" s="1586"/>
      <c r="N106" s="1586"/>
      <c r="O106" s="1586"/>
      <c r="P106" s="1586"/>
      <c r="Q106" s="955"/>
    </row>
    <row r="107" spans="1:31" ht="88.5" customHeight="1">
      <c r="A107" s="3101" t="s">
        <v>4716</v>
      </c>
      <c r="B107" s="3102"/>
      <c r="C107" s="3102"/>
      <c r="D107" s="3102"/>
      <c r="E107" s="3102"/>
      <c r="F107" s="3102"/>
      <c r="G107" s="3102"/>
      <c r="H107" s="3102"/>
      <c r="I107" s="3102"/>
      <c r="J107" s="3102"/>
      <c r="K107" s="3102"/>
      <c r="L107" s="3102"/>
      <c r="M107" s="3102"/>
      <c r="N107" s="3102"/>
      <c r="O107" s="3102"/>
      <c r="P107" s="3102"/>
      <c r="Q107" s="3103"/>
      <c r="U107" s="140"/>
      <c r="V107" s="140"/>
      <c r="W107" s="140"/>
      <c r="X107" s="140"/>
      <c r="Y107" s="140"/>
      <c r="Z107" s="140"/>
      <c r="AA107" s="140"/>
      <c r="AB107" s="140"/>
      <c r="AC107" s="140"/>
      <c r="AD107" s="140"/>
      <c r="AE107" s="486"/>
    </row>
    <row r="108" spans="1:31" ht="9.75" customHeight="1">
      <c r="B108" s="141" t="s">
        <v>1881</v>
      </c>
      <c r="C108" s="142"/>
      <c r="D108" s="1588"/>
      <c r="E108" s="1588"/>
      <c r="F108" s="1588"/>
      <c r="G108" s="1588"/>
      <c r="H108" s="1588"/>
      <c r="I108" s="1588"/>
      <c r="J108" s="1588"/>
      <c r="K108" s="1588"/>
      <c r="L108" s="1588"/>
      <c r="M108" s="1588"/>
      <c r="N108" s="1588"/>
      <c r="O108" s="1588"/>
      <c r="P108" s="1588"/>
      <c r="Q108" s="1588"/>
    </row>
    <row r="109" spans="1:31" ht="44.25" customHeight="1">
      <c r="A109" s="3093"/>
      <c r="B109" s="3094"/>
      <c r="C109" s="3094"/>
      <c r="D109" s="3094"/>
      <c r="E109" s="3094"/>
      <c r="F109" s="3094"/>
      <c r="G109" s="3094"/>
      <c r="H109" s="3094"/>
      <c r="I109" s="3094"/>
      <c r="J109" s="3094"/>
      <c r="K109" s="3094"/>
      <c r="L109" s="3094"/>
      <c r="M109" s="3094"/>
      <c r="N109" s="3094"/>
      <c r="O109" s="3094"/>
      <c r="P109" s="3094"/>
      <c r="Q109" s="3095"/>
    </row>
    <row r="110" spans="1:31" ht="13.9" customHeight="1">
      <c r="A110" s="1583" t="s">
        <v>535</v>
      </c>
      <c r="B110" s="1583" t="s">
        <v>2672</v>
      </c>
      <c r="C110" s="1583"/>
      <c r="D110" s="1588"/>
      <c r="E110" s="1588"/>
      <c r="F110" s="1588"/>
      <c r="G110" s="1588"/>
      <c r="H110" s="1588"/>
      <c r="I110" s="1588"/>
      <c r="J110" s="1588"/>
      <c r="K110" s="1588"/>
      <c r="L110" s="1588"/>
      <c r="M110" s="1588"/>
      <c r="O110" s="136" t="s">
        <v>1882</v>
      </c>
      <c r="P110" s="3096"/>
      <c r="Q110" s="3124"/>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193" t="s">
        <v>3015</v>
      </c>
      <c r="Q112" s="561"/>
    </row>
    <row r="113" spans="1:32" ht="10.5" customHeight="1">
      <c r="A113" s="48" t="s">
        <v>2002</v>
      </c>
      <c r="B113" s="53" t="s">
        <v>1316</v>
      </c>
      <c r="C113" s="53"/>
      <c r="E113" s="53"/>
      <c r="F113" s="53"/>
      <c r="G113" s="53"/>
      <c r="H113" s="53"/>
      <c r="I113" s="53"/>
      <c r="J113" s="53"/>
      <c r="K113" s="53"/>
      <c r="L113" s="956"/>
      <c r="M113" s="956"/>
      <c r="O113" s="484" t="s">
        <v>2002</v>
      </c>
      <c r="P113" s="2192" t="s">
        <v>3015</v>
      </c>
      <c r="Q113" s="562"/>
    </row>
    <row r="114" spans="1:32" ht="10.5" customHeight="1">
      <c r="A114" s="37"/>
      <c r="C114" s="40" t="s">
        <v>559</v>
      </c>
      <c r="E114" s="43"/>
      <c r="F114" s="43"/>
      <c r="G114" s="43"/>
      <c r="H114" s="43"/>
      <c r="I114" s="43"/>
      <c r="L114" s="68" t="s">
        <v>560</v>
      </c>
      <c r="M114" s="3125"/>
      <c r="N114" s="3126"/>
      <c r="O114" s="3126"/>
      <c r="P114" s="3196"/>
      <c r="Q114" s="562"/>
    </row>
    <row r="115" spans="1:32" ht="10.5" customHeight="1">
      <c r="A115" s="1597"/>
      <c r="B115" s="154" t="s">
        <v>1750</v>
      </c>
      <c r="C115" s="956" t="s">
        <v>3495</v>
      </c>
      <c r="D115" s="1100"/>
      <c r="E115" s="1100"/>
      <c r="F115" s="1100"/>
      <c r="G115" s="1100"/>
      <c r="H115" s="1100"/>
      <c r="I115" s="1100"/>
      <c r="J115" s="1100"/>
      <c r="K115" s="1100"/>
      <c r="L115" s="1100"/>
      <c r="M115" s="1100"/>
      <c r="O115" s="154" t="s">
        <v>1750</v>
      </c>
      <c r="P115" s="2193"/>
      <c r="Q115" s="562"/>
    </row>
    <row r="116" spans="1:32" ht="10.5" customHeight="1">
      <c r="A116" s="1597"/>
      <c r="B116" s="68" t="s">
        <v>1751</v>
      </c>
      <c r="C116" s="956" t="s">
        <v>3496</v>
      </c>
      <c r="D116" s="1100"/>
      <c r="E116" s="1100"/>
      <c r="F116" s="1100"/>
      <c r="G116" s="1100"/>
      <c r="H116" s="1100"/>
      <c r="I116" s="1100"/>
      <c r="J116" s="1100"/>
      <c r="K116" s="1100"/>
      <c r="L116" s="1100"/>
      <c r="M116" s="1100"/>
      <c r="O116" s="68" t="s">
        <v>1751</v>
      </c>
      <c r="P116" s="2196"/>
      <c r="Q116" s="562"/>
    </row>
    <row r="117" spans="1:32" ht="10.5" customHeight="1">
      <c r="A117" s="1597"/>
      <c r="B117" s="154" t="s">
        <v>1752</v>
      </c>
      <c r="C117" s="956" t="s">
        <v>2900</v>
      </c>
      <c r="D117" s="956"/>
      <c r="E117" s="956"/>
      <c r="F117" s="956"/>
      <c r="G117" s="956"/>
      <c r="H117" s="956"/>
      <c r="I117" s="956"/>
      <c r="J117" s="956"/>
      <c r="K117" s="956"/>
      <c r="L117" s="956"/>
      <c r="M117" s="1283"/>
      <c r="O117" s="154" t="s">
        <v>1752</v>
      </c>
      <c r="P117" s="2196"/>
      <c r="Q117" s="562"/>
    </row>
    <row r="118" spans="1:32" s="137" customFormat="1" ht="24.75" customHeight="1">
      <c r="A118" s="449"/>
      <c r="B118" s="166" t="s">
        <v>2382</v>
      </c>
      <c r="C118" s="3091" t="s">
        <v>2707</v>
      </c>
      <c r="D118" s="3091"/>
      <c r="E118" s="3091"/>
      <c r="F118" s="3091"/>
      <c r="G118" s="3091"/>
      <c r="H118" s="3091"/>
      <c r="I118" s="3091"/>
      <c r="J118" s="3091"/>
      <c r="K118" s="3091"/>
      <c r="L118" s="3091"/>
      <c r="M118" s="3091"/>
      <c r="N118" s="3091"/>
      <c r="O118" s="166" t="s">
        <v>2382</v>
      </c>
      <c r="P118" s="226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193" t="s">
        <v>3015</v>
      </c>
      <c r="Q121" s="561"/>
    </row>
    <row r="122" spans="1:32" ht="10.5" customHeight="1">
      <c r="B122" s="68" t="s">
        <v>1751</v>
      </c>
      <c r="C122" s="53" t="s">
        <v>1442</v>
      </c>
      <c r="E122" s="53"/>
      <c r="F122" s="53"/>
      <c r="G122" s="53"/>
      <c r="H122" s="53"/>
      <c r="I122" s="53"/>
      <c r="J122" s="53"/>
      <c r="K122" s="53"/>
      <c r="L122" s="956"/>
      <c r="M122" s="956"/>
      <c r="O122" s="68" t="s">
        <v>1751</v>
      </c>
      <c r="P122" s="2196" t="s">
        <v>3015</v>
      </c>
      <c r="Q122" s="562"/>
    </row>
    <row r="123" spans="1:32" ht="10.5" customHeight="1">
      <c r="B123" s="68" t="s">
        <v>1752</v>
      </c>
      <c r="C123" s="53" t="s">
        <v>1443</v>
      </c>
      <c r="E123" s="53"/>
      <c r="F123" s="53"/>
      <c r="G123" s="53"/>
      <c r="H123" s="53"/>
      <c r="I123" s="53"/>
      <c r="J123" s="53"/>
      <c r="K123" s="53"/>
      <c r="L123" s="956"/>
      <c r="M123" s="956"/>
      <c r="O123" s="68" t="s">
        <v>1752</v>
      </c>
      <c r="P123" s="2192" t="s">
        <v>3015</v>
      </c>
      <c r="Q123" s="563"/>
    </row>
    <row r="124" spans="1:32" ht="10.5" customHeight="1">
      <c r="B124" s="145" t="s">
        <v>3781</v>
      </c>
      <c r="D124" s="145"/>
      <c r="E124" s="145"/>
      <c r="F124" s="145"/>
      <c r="G124" s="145"/>
      <c r="H124" s="41"/>
      <c r="I124" s="1597"/>
      <c r="J124" s="1597"/>
      <c r="K124" s="1597"/>
      <c r="L124" s="1586"/>
      <c r="M124" s="1586"/>
      <c r="N124" s="1586"/>
      <c r="O124" s="1586"/>
      <c r="P124" s="1586"/>
      <c r="Q124" s="955"/>
    </row>
    <row r="125" spans="1:32" ht="22.5" customHeight="1">
      <c r="A125" s="3101" t="s">
        <v>4607</v>
      </c>
      <c r="B125" s="3102"/>
      <c r="C125" s="3102"/>
      <c r="D125" s="3102"/>
      <c r="E125" s="3102"/>
      <c r="F125" s="3102"/>
      <c r="G125" s="3102"/>
      <c r="H125" s="3102"/>
      <c r="I125" s="3102"/>
      <c r="J125" s="3102"/>
      <c r="K125" s="3102"/>
      <c r="L125" s="3102"/>
      <c r="M125" s="3102"/>
      <c r="N125" s="3102"/>
      <c r="O125" s="3102"/>
      <c r="P125" s="3102"/>
      <c r="Q125" s="3103"/>
      <c r="U125" s="140"/>
      <c r="V125" s="140"/>
      <c r="W125" s="140"/>
      <c r="X125" s="140"/>
      <c r="Y125" s="140"/>
      <c r="Z125" s="140"/>
      <c r="AA125" s="140"/>
      <c r="AB125" s="140"/>
      <c r="AC125" s="140"/>
      <c r="AD125" s="140"/>
      <c r="AE125" s="486"/>
    </row>
    <row r="126" spans="1:32" ht="11.25" customHeight="1">
      <c r="B126" s="141" t="s">
        <v>1881</v>
      </c>
      <c r="C126" s="142"/>
      <c r="D126" s="1588"/>
      <c r="E126" s="1588"/>
      <c r="F126" s="1588"/>
      <c r="G126" s="1588"/>
      <c r="H126" s="1588"/>
      <c r="I126" s="1588"/>
      <c r="J126" s="1588"/>
      <c r="K126" s="1588"/>
      <c r="L126" s="1588"/>
      <c r="M126" s="1588"/>
      <c r="N126" s="1588"/>
      <c r="O126" s="1588"/>
      <c r="P126" s="1588"/>
      <c r="Q126" s="1588"/>
    </row>
    <row r="127" spans="1:32" ht="22.5" customHeight="1">
      <c r="A127" s="3093"/>
      <c r="B127" s="3094"/>
      <c r="C127" s="3094"/>
      <c r="D127" s="3094"/>
      <c r="E127" s="3094"/>
      <c r="F127" s="3094"/>
      <c r="G127" s="3094"/>
      <c r="H127" s="3094"/>
      <c r="I127" s="3094"/>
      <c r="J127" s="3094"/>
      <c r="K127" s="3094"/>
      <c r="L127" s="3094"/>
      <c r="M127" s="3094"/>
      <c r="N127" s="3094"/>
      <c r="O127" s="3094"/>
      <c r="P127" s="3094"/>
      <c r="Q127" s="3095"/>
    </row>
    <row r="128" spans="1:32" ht="13.9" customHeight="1">
      <c r="A128" s="1583" t="s">
        <v>780</v>
      </c>
      <c r="B128" s="1583" t="s">
        <v>2673</v>
      </c>
      <c r="C128" s="41"/>
      <c r="D128" s="1588"/>
      <c r="E128" s="1588"/>
      <c r="F128" s="1588"/>
      <c r="G128" s="1588"/>
      <c r="H128" s="1588"/>
      <c r="I128" s="1588"/>
      <c r="J128" s="1588"/>
      <c r="K128" s="1588"/>
      <c r="L128" s="1588"/>
      <c r="M128" s="1588"/>
      <c r="O128" s="136" t="s">
        <v>1882</v>
      </c>
      <c r="P128" s="3096"/>
      <c r="Q128" s="3124"/>
    </row>
    <row r="129" spans="1:17" ht="6.6" customHeight="1"/>
    <row r="130" spans="1:17" ht="12" customHeight="1">
      <c r="A130" s="48" t="s">
        <v>2000</v>
      </c>
      <c r="B130" s="53" t="s">
        <v>3663</v>
      </c>
      <c r="D130" s="138"/>
      <c r="E130" s="138"/>
      <c r="F130" s="138"/>
      <c r="G130" s="138"/>
      <c r="H130" s="138"/>
      <c r="I130" s="43"/>
      <c r="J130" s="43"/>
      <c r="K130" s="484" t="s">
        <v>2000</v>
      </c>
      <c r="L130" s="3201" t="s">
        <v>4606</v>
      </c>
      <c r="M130" s="3201"/>
      <c r="N130" s="3201"/>
      <c r="O130" s="3201"/>
      <c r="P130" s="3201"/>
      <c r="Q130" s="560"/>
    </row>
    <row r="131" spans="1:17" ht="12" customHeight="1">
      <c r="A131" s="48" t="s">
        <v>2002</v>
      </c>
      <c r="B131" s="53" t="s">
        <v>1550</v>
      </c>
      <c r="D131" s="138"/>
      <c r="E131" s="138"/>
      <c r="F131" s="138"/>
      <c r="G131" s="138"/>
      <c r="H131" s="138"/>
      <c r="I131" s="43"/>
      <c r="J131" s="43"/>
      <c r="K131" s="138"/>
      <c r="L131" s="1594"/>
      <c r="O131" s="484" t="s">
        <v>2002</v>
      </c>
      <c r="P131" s="2208" t="s">
        <v>3015</v>
      </c>
      <c r="Q131" s="1005"/>
    </row>
    <row r="132" spans="1:17" ht="12" customHeight="1">
      <c r="A132" s="48" t="s">
        <v>757</v>
      </c>
      <c r="B132" s="53" t="s">
        <v>152</v>
      </c>
      <c r="D132" s="138"/>
      <c r="E132" s="138"/>
      <c r="F132" s="138"/>
      <c r="G132" s="138"/>
      <c r="H132" s="138"/>
      <c r="I132" s="43"/>
      <c r="J132" s="43"/>
      <c r="K132" s="1594"/>
      <c r="L132" s="1594"/>
      <c r="O132" s="484" t="s">
        <v>757</v>
      </c>
      <c r="P132" s="2192" t="s">
        <v>3012</v>
      </c>
      <c r="Q132" s="962"/>
    </row>
    <row r="133" spans="1:17" ht="12" customHeight="1">
      <c r="A133" s="48"/>
      <c r="B133" s="67" t="s">
        <v>1750</v>
      </c>
      <c r="C133" s="53" t="s">
        <v>2706</v>
      </c>
      <c r="E133" s="138"/>
      <c r="F133" s="138"/>
      <c r="G133" s="138"/>
      <c r="H133" s="138"/>
      <c r="I133" s="43"/>
      <c r="J133" s="43"/>
      <c r="K133" s="68" t="s">
        <v>1750</v>
      </c>
      <c r="L133" s="3201" t="s">
        <v>4606</v>
      </c>
      <c r="M133" s="3201"/>
      <c r="N133" s="3201"/>
      <c r="O133" s="3201"/>
      <c r="P133" s="3201"/>
      <c r="Q133" s="560"/>
    </row>
    <row r="134" spans="1:17" ht="12" customHeight="1">
      <c r="A134" s="143"/>
      <c r="B134" s="68" t="s">
        <v>1751</v>
      </c>
      <c r="C134" s="37" t="s">
        <v>3497</v>
      </c>
      <c r="E134" s="43"/>
      <c r="F134" s="43"/>
      <c r="G134" s="43"/>
      <c r="H134" s="53"/>
      <c r="I134" s="43"/>
      <c r="J134" s="43"/>
      <c r="K134" s="138"/>
      <c r="L134" s="1594"/>
      <c r="M134" s="1594"/>
      <c r="O134" s="484" t="s">
        <v>1751</v>
      </c>
      <c r="P134" s="2207">
        <v>70.069999999999993</v>
      </c>
      <c r="Q134" s="566"/>
    </row>
    <row r="135" spans="1:17" ht="12" customHeight="1">
      <c r="A135" s="143"/>
      <c r="B135" s="484" t="s">
        <v>1752</v>
      </c>
      <c r="C135" s="53" t="s">
        <v>4166</v>
      </c>
      <c r="E135" s="43"/>
      <c r="F135" s="43"/>
      <c r="G135" s="43"/>
      <c r="H135" s="53"/>
      <c r="I135" s="43"/>
      <c r="J135" s="43"/>
      <c r="K135" s="138"/>
      <c r="L135" s="1594"/>
      <c r="M135" s="1594"/>
      <c r="N135" s="1594"/>
      <c r="O135" s="1594"/>
    </row>
    <row r="136" spans="1:17" ht="11.45" customHeight="1">
      <c r="A136" s="1586"/>
      <c r="B136" s="68"/>
      <c r="C136" s="3200" t="s">
        <v>4740</v>
      </c>
      <c r="D136" s="3200"/>
      <c r="E136" s="3200"/>
      <c r="F136" s="3200"/>
      <c r="G136" s="3200"/>
      <c r="H136" s="3200"/>
      <c r="I136" s="3200"/>
      <c r="J136" s="3200"/>
      <c r="K136" s="3200"/>
      <c r="L136" s="3200"/>
      <c r="M136" s="3200"/>
      <c r="N136" s="3200"/>
      <c r="O136" s="3200"/>
      <c r="P136" s="3200"/>
      <c r="Q136" s="3200"/>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193" t="s">
        <v>3015</v>
      </c>
      <c r="Q138" s="561"/>
    </row>
    <row r="139" spans="1:17" ht="12" customHeight="1">
      <c r="A139" s="48"/>
      <c r="B139" s="68" t="s">
        <v>1751</v>
      </c>
      <c r="C139" s="53" t="s">
        <v>1273</v>
      </c>
      <c r="E139" s="138"/>
      <c r="F139" s="138"/>
      <c r="G139" s="138"/>
      <c r="H139" s="43"/>
      <c r="I139" s="43"/>
      <c r="J139" s="43"/>
      <c r="K139" s="138"/>
      <c r="L139" s="1594"/>
      <c r="M139" s="1594"/>
      <c r="O139" s="68" t="s">
        <v>1751</v>
      </c>
      <c r="P139" s="2196" t="s">
        <v>3015</v>
      </c>
      <c r="Q139" s="562"/>
    </row>
    <row r="140" spans="1:17" ht="12" customHeight="1">
      <c r="A140" s="48"/>
      <c r="B140" s="68"/>
      <c r="C140" s="53" t="s">
        <v>2650</v>
      </c>
      <c r="E140" s="484" t="s">
        <v>2452</v>
      </c>
      <c r="F140" s="53" t="s">
        <v>2651</v>
      </c>
      <c r="G140" s="43"/>
      <c r="H140" s="53"/>
      <c r="I140" s="43"/>
      <c r="J140" s="43"/>
      <c r="K140" s="138"/>
      <c r="L140" s="1594"/>
      <c r="M140" s="1594"/>
      <c r="O140" s="484" t="s">
        <v>2452</v>
      </c>
      <c r="P140" s="2263"/>
      <c r="Q140" s="909"/>
    </row>
    <row r="141" spans="1:17" ht="12" customHeight="1">
      <c r="A141" s="48"/>
      <c r="B141" s="68"/>
      <c r="E141" s="484" t="s">
        <v>2453</v>
      </c>
      <c r="F141" s="53" t="s">
        <v>2652</v>
      </c>
      <c r="G141" s="43"/>
      <c r="H141" s="53"/>
      <c r="I141" s="43"/>
      <c r="J141" s="43"/>
      <c r="K141" s="138"/>
      <c r="L141" s="1594"/>
      <c r="M141" s="1594"/>
      <c r="O141" s="484" t="s">
        <v>2453</v>
      </c>
      <c r="P141" s="2196" t="s">
        <v>3015</v>
      </c>
      <c r="Q141" s="562"/>
    </row>
    <row r="142" spans="1:17" ht="12" customHeight="1">
      <c r="A142" s="48"/>
      <c r="B142" s="68"/>
      <c r="E142" s="484" t="s">
        <v>2454</v>
      </c>
      <c r="F142" s="53" t="s">
        <v>2653</v>
      </c>
      <c r="G142" s="43"/>
      <c r="H142" s="53"/>
      <c r="I142" s="43"/>
      <c r="J142" s="43"/>
      <c r="K142" s="138"/>
      <c r="L142" s="1594"/>
      <c r="M142" s="1594"/>
      <c r="O142" s="484" t="s">
        <v>2454</v>
      </c>
      <c r="P142" s="2196" t="s">
        <v>3015</v>
      </c>
      <c r="Q142" s="562"/>
    </row>
    <row r="143" spans="1:17" ht="12" customHeight="1">
      <c r="A143" s="48"/>
      <c r="B143" s="68" t="s">
        <v>1752</v>
      </c>
      <c r="C143" s="53" t="s">
        <v>1274</v>
      </c>
      <c r="E143" s="138"/>
      <c r="F143" s="138"/>
      <c r="G143" s="138"/>
      <c r="H143" s="53"/>
      <c r="I143" s="43"/>
      <c r="J143" s="43"/>
      <c r="K143" s="138"/>
      <c r="L143" s="1594"/>
      <c r="M143" s="1594"/>
      <c r="O143" s="68" t="s">
        <v>1752</v>
      </c>
      <c r="P143" s="2196" t="s">
        <v>3015</v>
      </c>
      <c r="Q143" s="562"/>
    </row>
    <row r="144" spans="1:17" ht="12" customHeight="1">
      <c r="A144" s="48"/>
      <c r="B144" s="68"/>
      <c r="C144" s="53" t="s">
        <v>2650</v>
      </c>
      <c r="E144" s="484" t="s">
        <v>2452</v>
      </c>
      <c r="F144" s="53" t="s">
        <v>2654</v>
      </c>
      <c r="G144" s="43"/>
      <c r="H144" s="53"/>
      <c r="I144" s="43"/>
      <c r="J144" s="43"/>
      <c r="K144" s="138"/>
      <c r="L144" s="1594"/>
      <c r="O144" s="484" t="s">
        <v>2452</v>
      </c>
      <c r="P144" s="2263"/>
      <c r="Q144" s="909"/>
    </row>
    <row r="145" spans="1:18" ht="12" customHeight="1">
      <c r="A145" s="48"/>
      <c r="B145" s="68"/>
      <c r="E145" s="484" t="s">
        <v>2453</v>
      </c>
      <c r="F145" s="53" t="s">
        <v>2655</v>
      </c>
      <c r="G145" s="43"/>
      <c r="H145" s="53"/>
      <c r="I145" s="43"/>
      <c r="J145" s="43"/>
      <c r="O145" s="484" t="s">
        <v>2453</v>
      </c>
      <c r="P145" s="2196" t="s">
        <v>3015</v>
      </c>
      <c r="Q145" s="562"/>
    </row>
    <row r="146" spans="1:18" ht="12" customHeight="1">
      <c r="A146" s="48"/>
      <c r="B146" s="68"/>
      <c r="E146" s="484" t="s">
        <v>2454</v>
      </c>
      <c r="F146" s="53" t="s">
        <v>2653</v>
      </c>
      <c r="G146" s="43"/>
      <c r="H146" s="53"/>
      <c r="I146" s="43"/>
      <c r="J146" s="43"/>
      <c r="O146" s="484" t="s">
        <v>2454</v>
      </c>
      <c r="P146" s="2196" t="s">
        <v>3015</v>
      </c>
      <c r="Q146" s="562"/>
    </row>
    <row r="147" spans="1:18" ht="12" customHeight="1">
      <c r="A147" s="37"/>
      <c r="B147" s="68" t="s">
        <v>2382</v>
      </c>
      <c r="C147" s="53" t="s">
        <v>2656</v>
      </c>
      <c r="E147" s="138"/>
      <c r="F147" s="138"/>
      <c r="G147" s="138"/>
      <c r="H147" s="138"/>
      <c r="I147" s="43"/>
      <c r="J147" s="43"/>
      <c r="O147" s="68" t="s">
        <v>2382</v>
      </c>
      <c r="P147" s="2192" t="s">
        <v>3015</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193" t="s">
        <v>3015</v>
      </c>
      <c r="G149" s="561"/>
      <c r="H149" s="68" t="s">
        <v>1561</v>
      </c>
      <c r="I149" s="56" t="s">
        <v>2658</v>
      </c>
      <c r="L149" s="2193" t="s">
        <v>3015</v>
      </c>
      <c r="M149" s="561"/>
      <c r="N149" s="484" t="s">
        <v>517</v>
      </c>
      <c r="O149" s="53" t="s">
        <v>1564</v>
      </c>
      <c r="P149" s="2193" t="s">
        <v>3015</v>
      </c>
      <c r="Q149" s="561"/>
    </row>
    <row r="150" spans="1:18" ht="12" customHeight="1">
      <c r="A150" s="37"/>
      <c r="B150" s="68" t="s">
        <v>1751</v>
      </c>
      <c r="C150" s="53" t="s">
        <v>2823</v>
      </c>
      <c r="E150" s="138"/>
      <c r="F150" s="2196" t="s">
        <v>3012</v>
      </c>
      <c r="G150" s="562"/>
      <c r="H150" s="68" t="s">
        <v>1562</v>
      </c>
      <c r="I150" s="56" t="s">
        <v>2659</v>
      </c>
      <c r="L150" s="2196" t="s">
        <v>3012</v>
      </c>
      <c r="M150" s="562"/>
      <c r="N150" s="484" t="s">
        <v>518</v>
      </c>
      <c r="O150" s="53" t="s">
        <v>1563</v>
      </c>
      <c r="P150" s="2196" t="s">
        <v>3015</v>
      </c>
      <c r="Q150" s="562"/>
    </row>
    <row r="151" spans="1:18" ht="12" customHeight="1">
      <c r="A151" s="37"/>
      <c r="B151" s="68" t="s">
        <v>1752</v>
      </c>
      <c r="C151" s="53" t="s">
        <v>2657</v>
      </c>
      <c r="E151" s="138"/>
      <c r="F151" s="2196" t="s">
        <v>3015</v>
      </c>
      <c r="G151" s="562"/>
      <c r="H151" s="484" t="s">
        <v>99</v>
      </c>
      <c r="I151" s="56" t="s">
        <v>3876</v>
      </c>
      <c r="L151" s="2196" t="s">
        <v>3015</v>
      </c>
      <c r="M151" s="562"/>
      <c r="N151" s="484" t="s">
        <v>2825</v>
      </c>
      <c r="O151" s="53" t="s">
        <v>1565</v>
      </c>
      <c r="P151" s="2192" t="s">
        <v>3015</v>
      </c>
      <c r="Q151" s="563"/>
    </row>
    <row r="152" spans="1:18" ht="12" customHeight="1">
      <c r="A152" s="37"/>
      <c r="B152" s="68" t="s">
        <v>2382</v>
      </c>
      <c r="C152" s="53" t="s">
        <v>2826</v>
      </c>
      <c r="E152" s="138"/>
      <c r="F152" s="2192" t="s">
        <v>3015</v>
      </c>
      <c r="G152" s="563"/>
      <c r="H152" s="484" t="s">
        <v>516</v>
      </c>
      <c r="I152" s="53" t="s">
        <v>2822</v>
      </c>
      <c r="L152" s="2192" t="s">
        <v>3015</v>
      </c>
      <c r="M152" s="563"/>
      <c r="O152" s="68"/>
    </row>
    <row r="153" spans="1:18" ht="12" customHeight="1">
      <c r="A153" s="37"/>
      <c r="B153" s="484" t="s">
        <v>2914</v>
      </c>
      <c r="C153" s="53" t="s">
        <v>2824</v>
      </c>
      <c r="E153" s="138"/>
      <c r="F153" s="138"/>
      <c r="G153" s="138"/>
      <c r="H153" s="138"/>
      <c r="I153" s="138"/>
      <c r="J153" s="138"/>
      <c r="K153" s="138"/>
      <c r="L153" s="138"/>
      <c r="M153" s="53"/>
      <c r="O153" s="68"/>
      <c r="P153" s="68"/>
    </row>
    <row r="154" spans="1:18" ht="12" customHeight="1">
      <c r="A154" s="37"/>
      <c r="C154" s="3200" t="s">
        <v>4743</v>
      </c>
      <c r="D154" s="3200"/>
      <c r="E154" s="3200"/>
      <c r="F154" s="3200"/>
      <c r="G154" s="3200"/>
      <c r="H154" s="3200"/>
      <c r="I154" s="3200"/>
      <c r="J154" s="3200"/>
      <c r="K154" s="3200"/>
      <c r="L154" s="3200"/>
      <c r="M154" s="3200"/>
      <c r="N154" s="3200"/>
      <c r="O154" s="3200"/>
      <c r="P154" s="3200"/>
      <c r="Q154" s="3200"/>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2827</v>
      </c>
      <c r="E156" s="138"/>
      <c r="F156" s="138"/>
      <c r="G156" s="138"/>
      <c r="H156" s="138"/>
      <c r="O156" s="68" t="s">
        <v>1750</v>
      </c>
      <c r="P156" s="2193"/>
      <c r="Q156" s="561"/>
    </row>
    <row r="157" spans="1:18" ht="12" customHeight="1">
      <c r="A157" s="1597"/>
      <c r="B157" s="68" t="s">
        <v>1751</v>
      </c>
      <c r="C157" s="53" t="s">
        <v>495</v>
      </c>
      <c r="E157" s="53"/>
      <c r="F157" s="53"/>
      <c r="G157" s="53"/>
      <c r="H157" s="53"/>
      <c r="I157" s="43"/>
      <c r="J157" s="43"/>
      <c r="K157" s="53"/>
      <c r="L157" s="53"/>
      <c r="M157" s="53"/>
      <c r="O157" s="68" t="s">
        <v>1751</v>
      </c>
      <c r="P157" s="2196"/>
      <c r="Q157" s="562"/>
    </row>
    <row r="158" spans="1:18" ht="12" customHeight="1">
      <c r="A158" s="1597"/>
      <c r="B158" s="68" t="s">
        <v>1752</v>
      </c>
      <c r="C158" s="53" t="s">
        <v>687</v>
      </c>
      <c r="E158" s="53"/>
      <c r="F158" s="53"/>
      <c r="G158" s="53"/>
      <c r="H158" s="53"/>
      <c r="I158" s="43"/>
      <c r="J158" s="43"/>
      <c r="K158" s="53"/>
      <c r="L158" s="53"/>
      <c r="M158" s="53"/>
      <c r="O158" s="68" t="s">
        <v>1752</v>
      </c>
      <c r="P158" s="2196"/>
      <c r="Q158" s="562"/>
    </row>
    <row r="159" spans="1:18" ht="12" customHeight="1">
      <c r="A159" s="48" t="s">
        <v>1963</v>
      </c>
      <c r="B159" s="53" t="s">
        <v>1766</v>
      </c>
      <c r="D159" s="138"/>
      <c r="E159" s="138"/>
      <c r="F159" s="138"/>
      <c r="G159" s="138"/>
      <c r="H159" s="138"/>
      <c r="I159" s="43"/>
      <c r="J159" s="43"/>
      <c r="K159" s="138"/>
      <c r="L159" s="138"/>
      <c r="M159" s="1594"/>
      <c r="O159" s="484" t="s">
        <v>1963</v>
      </c>
      <c r="P159" s="2192"/>
      <c r="Q159" s="563"/>
    </row>
    <row r="160" spans="1:18" ht="12" customHeight="1">
      <c r="A160" s="425" t="s">
        <v>3487</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3393</v>
      </c>
      <c r="B161" s="3091" t="s">
        <v>149</v>
      </c>
      <c r="C161" s="3091"/>
      <c r="D161" s="3091"/>
      <c r="E161" s="3091"/>
      <c r="F161" s="3091"/>
      <c r="G161" s="3091"/>
      <c r="H161" s="3091"/>
      <c r="I161" s="3091"/>
      <c r="J161" s="3091"/>
      <c r="K161" s="3091"/>
      <c r="L161" s="3091"/>
      <c r="M161" s="166" t="s">
        <v>3393</v>
      </c>
      <c r="N161" s="3202" t="s">
        <v>1784</v>
      </c>
      <c r="O161" s="3203"/>
      <c r="P161" s="3204" t="s">
        <v>1784</v>
      </c>
      <c r="Q161" s="3205"/>
      <c r="AE161" s="5"/>
      <c r="AF161" s="5"/>
    </row>
    <row r="162" spans="1:32" s="1" customFormat="1" ht="12" customHeight="1">
      <c r="A162" s="48" t="s">
        <v>622</v>
      </c>
      <c r="B162" s="118" t="s">
        <v>1</v>
      </c>
      <c r="D162" s="1240"/>
      <c r="E162" s="1240"/>
      <c r="G162" s="484" t="s">
        <v>622</v>
      </c>
      <c r="H162" s="3193"/>
      <c r="I162" s="3194"/>
      <c r="J162" s="3194"/>
      <c r="K162" s="3194"/>
      <c r="L162" s="3194"/>
      <c r="M162" s="3194"/>
      <c r="N162" s="3194"/>
      <c r="O162" s="3194"/>
      <c r="P162" s="3195"/>
      <c r="Q162" s="559"/>
      <c r="AE162" s="5"/>
      <c r="AF162" s="5"/>
    </row>
    <row r="163" spans="1:32" s="1" customFormat="1" ht="12" customHeight="1">
      <c r="A163" s="48" t="s">
        <v>3394</v>
      </c>
      <c r="B163" s="956" t="s">
        <v>1427</v>
      </c>
      <c r="D163" s="11"/>
      <c r="E163" s="11"/>
      <c r="F163" s="11"/>
      <c r="G163" s="7"/>
      <c r="H163" s="7"/>
      <c r="I163" s="956"/>
      <c r="K163" s="7"/>
      <c r="L163" s="7"/>
      <c r="M163" s="7"/>
      <c r="O163" s="484" t="s">
        <v>3394</v>
      </c>
      <c r="P163" s="2210"/>
      <c r="Q163" s="559"/>
      <c r="AE163" s="5"/>
      <c r="AF163" s="5"/>
    </row>
    <row r="164" spans="1:32" ht="11.25" customHeight="1">
      <c r="B164" s="145" t="s">
        <v>3781</v>
      </c>
      <c r="D164" s="145"/>
      <c r="E164" s="145"/>
      <c r="F164" s="145"/>
      <c r="G164" s="145"/>
      <c r="H164" s="41"/>
      <c r="I164" s="1597"/>
      <c r="J164" s="1597"/>
      <c r="K164" s="1597"/>
      <c r="L164" s="1586"/>
      <c r="M164" s="1586"/>
      <c r="N164" s="1586"/>
      <c r="O164" s="1586"/>
      <c r="P164" s="1586"/>
      <c r="Q164" s="955"/>
    </row>
    <row r="165" spans="1:32" ht="58.5" customHeight="1">
      <c r="A165" s="3101" t="s">
        <v>4746</v>
      </c>
      <c r="B165" s="3102"/>
      <c r="C165" s="3102"/>
      <c r="D165" s="3102"/>
      <c r="E165" s="3102"/>
      <c r="F165" s="3102"/>
      <c r="G165" s="3102"/>
      <c r="H165" s="3102"/>
      <c r="I165" s="3102"/>
      <c r="J165" s="3102"/>
      <c r="K165" s="3102"/>
      <c r="L165" s="3102"/>
      <c r="M165" s="3102"/>
      <c r="N165" s="3102"/>
      <c r="O165" s="3102"/>
      <c r="P165" s="3102"/>
      <c r="Q165" s="310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88"/>
      <c r="E167" s="1588"/>
      <c r="F167" s="1588"/>
      <c r="G167" s="1588"/>
      <c r="H167" s="1588"/>
      <c r="I167" s="1588"/>
      <c r="J167" s="1588"/>
      <c r="K167" s="1588"/>
      <c r="L167" s="1588"/>
      <c r="M167" s="1588"/>
      <c r="N167" s="1588"/>
      <c r="O167" s="1588"/>
      <c r="P167" s="1588"/>
      <c r="Q167" s="1588"/>
    </row>
    <row r="168" spans="1:32" ht="11.45" customHeight="1">
      <c r="A168" s="3093"/>
      <c r="B168" s="3094"/>
      <c r="C168" s="3094"/>
      <c r="D168" s="3094"/>
      <c r="E168" s="3094"/>
      <c r="F168" s="3094"/>
      <c r="G168" s="3094"/>
      <c r="H168" s="3094"/>
      <c r="I168" s="3094"/>
      <c r="J168" s="3094"/>
      <c r="K168" s="3094"/>
      <c r="L168" s="3094"/>
      <c r="M168" s="3094"/>
      <c r="N168" s="3094"/>
      <c r="O168" s="3094"/>
      <c r="P168" s="3094"/>
      <c r="Q168" s="3095"/>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2674</v>
      </c>
      <c r="C170" s="1583"/>
      <c r="D170" s="1588"/>
      <c r="E170" s="1588"/>
      <c r="F170" s="1588"/>
      <c r="G170" s="1588"/>
      <c r="H170" s="1588"/>
      <c r="I170" s="1588"/>
      <c r="J170" s="1588"/>
      <c r="K170" s="1588"/>
      <c r="O170" s="136" t="s">
        <v>1882</v>
      </c>
      <c r="P170" s="3096"/>
      <c r="Q170" s="3124"/>
    </row>
    <row r="171" spans="1:32" ht="12" customHeight="1">
      <c r="A171" s="48" t="s">
        <v>2000</v>
      </c>
      <c r="B171" s="53" t="s">
        <v>3936</v>
      </c>
      <c r="D171" s="53"/>
      <c r="E171" s="53"/>
      <c r="F171" s="53"/>
      <c r="G171" s="53"/>
      <c r="I171" s="53" t="s">
        <v>2727</v>
      </c>
      <c r="K171" s="3128">
        <v>43707</v>
      </c>
      <c r="L171" s="3129"/>
      <c r="N171" s="53"/>
      <c r="O171" s="484" t="s">
        <v>2000</v>
      </c>
      <c r="P171" s="2210" t="s">
        <v>3012</v>
      </c>
      <c r="Q171" s="559"/>
    </row>
    <row r="172" spans="1:32" ht="12" customHeight="1">
      <c r="A172" s="48" t="s">
        <v>2002</v>
      </c>
      <c r="B172" s="144" t="s">
        <v>151</v>
      </c>
      <c r="D172" s="144"/>
      <c r="E172" s="144"/>
      <c r="F172" s="144"/>
      <c r="G172" s="144"/>
      <c r="H172" s="144"/>
      <c r="M172" s="484" t="s">
        <v>2002</v>
      </c>
      <c r="N172" s="3130" t="s">
        <v>4604</v>
      </c>
      <c r="O172" s="3131"/>
      <c r="P172" s="3132" t="s">
        <v>1784</v>
      </c>
      <c r="Q172" s="3133"/>
    </row>
    <row r="173" spans="1:32" ht="12" customHeight="1">
      <c r="A173" s="48" t="s">
        <v>757</v>
      </c>
      <c r="B173" s="144" t="s">
        <v>688</v>
      </c>
      <c r="D173" s="144"/>
      <c r="E173" s="144"/>
      <c r="F173" s="144"/>
      <c r="G173" s="144"/>
      <c r="H173" s="144"/>
      <c r="J173" s="484" t="s">
        <v>757</v>
      </c>
      <c r="K173" s="3125" t="s">
        <v>4605</v>
      </c>
      <c r="L173" s="3126"/>
      <c r="M173" s="3126"/>
      <c r="N173" s="3126"/>
      <c r="O173" s="3126"/>
      <c r="P173" s="3127"/>
      <c r="Q173" s="559"/>
    </row>
    <row r="174" spans="1:32" ht="12" customHeight="1">
      <c r="A174" s="48" t="s">
        <v>2132</v>
      </c>
      <c r="B174" s="144" t="s">
        <v>2902</v>
      </c>
      <c r="D174" s="144"/>
      <c r="E174" s="144"/>
      <c r="F174" s="144"/>
      <c r="G174" s="144"/>
      <c r="H174" s="144"/>
      <c r="J174" s="484"/>
      <c r="K174" s="484"/>
      <c r="L174" s="484"/>
      <c r="M174" s="484"/>
      <c r="N174" s="484"/>
      <c r="O174" s="484" t="s">
        <v>2132</v>
      </c>
      <c r="P174" s="2210" t="s">
        <v>3015</v>
      </c>
      <c r="Q174" s="559"/>
    </row>
    <row r="175" spans="1:32" ht="12" customHeight="1">
      <c r="B175" s="145" t="s">
        <v>3781</v>
      </c>
      <c r="D175" s="145"/>
      <c r="E175" s="145"/>
      <c r="F175" s="145"/>
      <c r="G175" s="145"/>
      <c r="H175" s="41"/>
      <c r="I175" s="1597"/>
      <c r="J175" s="1597"/>
      <c r="K175" s="1597"/>
      <c r="L175" s="1586"/>
      <c r="M175" s="1586"/>
      <c r="N175" s="1586"/>
      <c r="O175" s="1586"/>
      <c r="P175" s="1586"/>
      <c r="Q175" s="955"/>
    </row>
    <row r="176" spans="1:32" ht="53.25" customHeight="1">
      <c r="A176" s="3101" t="s">
        <v>4710</v>
      </c>
      <c r="B176" s="3102"/>
      <c r="C176" s="3102"/>
      <c r="D176" s="3102"/>
      <c r="E176" s="3102"/>
      <c r="F176" s="3102"/>
      <c r="G176" s="3102"/>
      <c r="H176" s="3102"/>
      <c r="I176" s="3102"/>
      <c r="J176" s="3102"/>
      <c r="K176" s="3102"/>
      <c r="L176" s="3102"/>
      <c r="M176" s="3102"/>
      <c r="N176" s="3102"/>
      <c r="O176" s="3102"/>
      <c r="P176" s="3102"/>
      <c r="Q176" s="3103"/>
      <c r="U176" s="140"/>
      <c r="V176" s="140"/>
      <c r="W176" s="140"/>
      <c r="X176" s="140"/>
      <c r="Y176" s="140"/>
      <c r="Z176" s="140"/>
      <c r="AA176" s="140"/>
      <c r="AB176" s="140"/>
      <c r="AC176" s="140"/>
      <c r="AD176" s="140"/>
      <c r="AE176" s="486"/>
    </row>
    <row r="177" spans="1:31" ht="12" customHeight="1">
      <c r="B177" s="141" t="s">
        <v>1881</v>
      </c>
      <c r="C177" s="142"/>
      <c r="D177" s="1588"/>
      <c r="E177" s="1588"/>
      <c r="F177" s="1588"/>
      <c r="G177" s="1588"/>
      <c r="H177" s="1588"/>
      <c r="I177" s="1588"/>
      <c r="J177" s="1588"/>
      <c r="K177" s="1588"/>
      <c r="L177" s="1588"/>
      <c r="M177" s="1588"/>
      <c r="N177" s="1588"/>
      <c r="O177" s="1588"/>
      <c r="P177" s="1588"/>
      <c r="Q177" s="1588"/>
    </row>
    <row r="178" spans="1:31" ht="11.45" customHeight="1">
      <c r="A178" s="3093"/>
      <c r="B178" s="3094"/>
      <c r="C178" s="3094"/>
      <c r="D178" s="3094"/>
      <c r="E178" s="3094"/>
      <c r="F178" s="3094"/>
      <c r="G178" s="3094"/>
      <c r="H178" s="3094"/>
      <c r="I178" s="3094"/>
      <c r="J178" s="3094"/>
      <c r="K178" s="3094"/>
      <c r="L178" s="3094"/>
      <c r="M178" s="3094"/>
      <c r="N178" s="3094"/>
      <c r="O178" s="3094"/>
      <c r="P178" s="3094"/>
      <c r="Q178" s="3095"/>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2675</v>
      </c>
      <c r="C180" s="1583"/>
      <c r="D180" s="1588"/>
      <c r="E180" s="1588"/>
      <c r="F180" s="1588"/>
      <c r="G180" s="1588"/>
      <c r="H180" s="1588"/>
      <c r="I180" s="1588"/>
      <c r="J180" s="1588"/>
      <c r="K180" s="1588"/>
      <c r="L180" s="1588"/>
      <c r="M180" s="1588"/>
      <c r="O180" s="136" t="s">
        <v>1882</v>
      </c>
      <c r="P180" s="3096"/>
      <c r="Q180" s="3124"/>
    </row>
    <row r="181" spans="1:31" ht="21.75" customHeight="1">
      <c r="A181" s="146" t="s">
        <v>2000</v>
      </c>
      <c r="B181" s="3091" t="s">
        <v>3772</v>
      </c>
      <c r="C181" s="3091"/>
      <c r="D181" s="3091"/>
      <c r="E181" s="3091"/>
      <c r="F181" s="3091"/>
      <c r="G181" s="3091"/>
      <c r="H181" s="3091"/>
      <c r="I181" s="3091"/>
      <c r="J181" s="3091"/>
      <c r="K181" s="3091"/>
      <c r="L181" s="3091"/>
      <c r="M181" s="3091"/>
      <c r="N181" s="3091"/>
      <c r="O181" s="166" t="s">
        <v>2000</v>
      </c>
      <c r="P181" s="2236" t="s">
        <v>3012</v>
      </c>
      <c r="Q181" s="1261"/>
    </row>
    <row r="182" spans="1:31" ht="22.15" customHeight="1">
      <c r="A182" s="146" t="s">
        <v>2002</v>
      </c>
      <c r="B182" s="3091" t="s">
        <v>3664</v>
      </c>
      <c r="C182" s="3091"/>
      <c r="D182" s="3091"/>
      <c r="E182" s="3091"/>
      <c r="F182" s="3091"/>
      <c r="G182" s="3091"/>
      <c r="H182" s="3091"/>
      <c r="I182" s="3091"/>
      <c r="J182" s="3091"/>
      <c r="K182" s="3091"/>
      <c r="L182" s="3091"/>
      <c r="M182" s="3091"/>
      <c r="N182" s="3091"/>
      <c r="O182" s="166" t="s">
        <v>2002</v>
      </c>
      <c r="P182" s="2262" t="s">
        <v>4602</v>
      </c>
      <c r="Q182" s="564"/>
    </row>
    <row r="183" spans="1:31" ht="22.15" customHeight="1">
      <c r="A183" s="146" t="s">
        <v>757</v>
      </c>
      <c r="B183" s="3091" t="s">
        <v>3773</v>
      </c>
      <c r="C183" s="3091"/>
      <c r="D183" s="3091"/>
      <c r="E183" s="3091"/>
      <c r="F183" s="3091"/>
      <c r="G183" s="3091"/>
      <c r="H183" s="3091"/>
      <c r="I183" s="3091"/>
      <c r="J183" s="3091"/>
      <c r="K183" s="3091"/>
      <c r="L183" s="3091"/>
      <c r="M183" s="3091"/>
      <c r="N183" s="3091"/>
      <c r="O183" s="166" t="s">
        <v>757</v>
      </c>
      <c r="P183" s="2262" t="s">
        <v>4602</v>
      </c>
      <c r="Q183" s="564"/>
    </row>
    <row r="184" spans="1:31" ht="21.75" customHeight="1">
      <c r="A184" s="146" t="s">
        <v>2132</v>
      </c>
      <c r="B184" s="3091" t="s">
        <v>2660</v>
      </c>
      <c r="C184" s="3091"/>
      <c r="D184" s="3091"/>
      <c r="E184" s="3091"/>
      <c r="F184" s="3091"/>
      <c r="G184" s="3091"/>
      <c r="H184" s="3091"/>
      <c r="I184" s="3091"/>
      <c r="J184" s="3091"/>
      <c r="K184" s="3091"/>
      <c r="L184" s="3091"/>
      <c r="M184" s="3091"/>
      <c r="N184" s="3091"/>
      <c r="O184" s="166" t="s">
        <v>2132</v>
      </c>
      <c r="P184" s="2249" t="s">
        <v>4602</v>
      </c>
      <c r="Q184" s="1282"/>
    </row>
    <row r="185" spans="1:31" ht="12" customHeight="1">
      <c r="B185" s="145" t="s">
        <v>3781</v>
      </c>
      <c r="D185" s="145"/>
      <c r="E185" s="145"/>
      <c r="F185" s="145"/>
      <c r="G185" s="145"/>
      <c r="H185" s="41"/>
      <c r="I185" s="1597"/>
      <c r="J185" s="1597"/>
      <c r="K185" s="1597"/>
      <c r="L185" s="1586"/>
      <c r="M185" s="1586"/>
      <c r="N185" s="1586"/>
      <c r="O185" s="1586"/>
      <c r="P185" s="1586"/>
      <c r="Q185" s="955"/>
    </row>
    <row r="186" spans="1:31" ht="11.45" customHeight="1">
      <c r="A186" s="3101" t="s">
        <v>4603</v>
      </c>
      <c r="B186" s="3102"/>
      <c r="C186" s="3102"/>
      <c r="D186" s="3102"/>
      <c r="E186" s="3102"/>
      <c r="F186" s="3102"/>
      <c r="G186" s="3102"/>
      <c r="H186" s="3102"/>
      <c r="I186" s="3102"/>
      <c r="J186" s="3102"/>
      <c r="K186" s="3102"/>
      <c r="L186" s="3102"/>
      <c r="M186" s="3102"/>
      <c r="N186" s="3102"/>
      <c r="O186" s="3102"/>
      <c r="P186" s="3102"/>
      <c r="Q186" s="3103"/>
      <c r="U186" s="140"/>
      <c r="V186" s="140"/>
      <c r="W186" s="140"/>
      <c r="X186" s="140"/>
      <c r="Y186" s="140"/>
      <c r="Z186" s="140"/>
      <c r="AA186" s="140"/>
      <c r="AB186" s="140"/>
      <c r="AC186" s="140"/>
      <c r="AD186" s="140"/>
      <c r="AE186" s="486"/>
    </row>
    <row r="187" spans="1:31" ht="12" customHeight="1">
      <c r="B187" s="141" t="s">
        <v>1881</v>
      </c>
      <c r="C187" s="142"/>
      <c r="D187" s="1588"/>
      <c r="E187" s="1588"/>
      <c r="F187" s="1588"/>
      <c r="G187" s="1588"/>
      <c r="H187" s="1588"/>
      <c r="I187" s="1588"/>
      <c r="J187" s="1588"/>
      <c r="K187" s="1588"/>
      <c r="L187" s="1588"/>
      <c r="M187" s="1588"/>
      <c r="N187" s="1588"/>
      <c r="O187" s="1588"/>
      <c r="P187" s="1588"/>
      <c r="Q187" s="1588"/>
    </row>
    <row r="188" spans="1:31" ht="11.45" customHeight="1">
      <c r="A188" s="3093"/>
      <c r="B188" s="3094"/>
      <c r="C188" s="3094"/>
      <c r="D188" s="3094"/>
      <c r="E188" s="3094"/>
      <c r="F188" s="3094"/>
      <c r="G188" s="3094"/>
      <c r="H188" s="3094"/>
      <c r="I188" s="3094"/>
      <c r="J188" s="3094"/>
      <c r="K188" s="3094"/>
      <c r="L188" s="3094"/>
      <c r="M188" s="3094"/>
      <c r="N188" s="3094"/>
      <c r="O188" s="3094"/>
      <c r="P188" s="3094"/>
      <c r="Q188" s="3095"/>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3020" t="s">
        <v>2676</v>
      </c>
      <c r="C190" s="3020"/>
      <c r="D190" s="3020"/>
      <c r="O190" s="136" t="s">
        <v>1882</v>
      </c>
      <c r="P190" s="3096"/>
      <c r="Q190" s="3124"/>
    </row>
    <row r="191" spans="1:31" ht="12" customHeight="1">
      <c r="A191" s="146" t="s">
        <v>2000</v>
      </c>
      <c r="B191" s="932" t="s">
        <v>472</v>
      </c>
      <c r="D191" s="932"/>
      <c r="E191" s="932"/>
      <c r="F191" s="932"/>
      <c r="G191" s="932"/>
      <c r="H191" s="932"/>
      <c r="I191" s="932"/>
      <c r="J191" s="932"/>
      <c r="K191" s="932"/>
      <c r="L191" s="932"/>
      <c r="M191" s="932"/>
      <c r="O191" s="166" t="s">
        <v>2000</v>
      </c>
      <c r="P191" s="2193" t="s">
        <v>3012</v>
      </c>
      <c r="Q191" s="561"/>
    </row>
    <row r="192" spans="1:31" ht="12" customHeight="1">
      <c r="A192" s="146" t="s">
        <v>2002</v>
      </c>
      <c r="B192" s="932" t="s">
        <v>2661</v>
      </c>
      <c r="D192" s="932"/>
      <c r="E192" s="932"/>
      <c r="F192" s="932"/>
      <c r="G192" s="932"/>
      <c r="H192" s="932"/>
      <c r="I192" s="932"/>
      <c r="J192" s="932"/>
      <c r="K192" s="932"/>
      <c r="L192" s="932"/>
      <c r="M192" s="932"/>
      <c r="O192" s="166" t="s">
        <v>2002</v>
      </c>
      <c r="P192" s="2196" t="s">
        <v>3012</v>
      </c>
      <c r="Q192" s="562"/>
    </row>
    <row r="193" spans="1:32" ht="12" customHeight="1">
      <c r="A193" s="146" t="s">
        <v>757</v>
      </c>
      <c r="B193" s="932" t="s">
        <v>2662</v>
      </c>
      <c r="D193" s="932"/>
      <c r="E193" s="932"/>
      <c r="F193" s="932"/>
      <c r="G193" s="932"/>
      <c r="H193" s="932"/>
      <c r="I193" s="932"/>
      <c r="J193" s="932"/>
      <c r="K193" s="932"/>
      <c r="L193" s="932"/>
      <c r="M193" s="932"/>
      <c r="O193" s="166" t="s">
        <v>757</v>
      </c>
      <c r="P193" s="2196" t="s">
        <v>3012</v>
      </c>
      <c r="Q193" s="562"/>
    </row>
    <row r="194" spans="1:32" ht="12" customHeight="1">
      <c r="A194" s="146"/>
      <c r="B194" s="3091" t="s">
        <v>2650</v>
      </c>
      <c r="C194" s="3091"/>
      <c r="D194" s="484" t="s">
        <v>1750</v>
      </c>
      <c r="E194" s="956" t="s">
        <v>2663</v>
      </c>
      <c r="G194" s="932"/>
      <c r="H194" s="932"/>
      <c r="I194" s="932"/>
      <c r="J194" s="932"/>
      <c r="K194" s="932"/>
      <c r="L194" s="932"/>
      <c r="M194" s="932"/>
      <c r="O194" s="459" t="s">
        <v>1750</v>
      </c>
      <c r="P194" s="2196" t="s">
        <v>3012</v>
      </c>
      <c r="Q194" s="562"/>
    </row>
    <row r="195" spans="1:32" ht="12" customHeight="1">
      <c r="A195" s="146"/>
      <c r="B195" s="3091"/>
      <c r="C195" s="3091"/>
      <c r="D195" s="484" t="s">
        <v>1751</v>
      </c>
      <c r="E195" s="956" t="s">
        <v>2664</v>
      </c>
      <c r="G195" s="932"/>
      <c r="H195" s="932"/>
      <c r="I195" s="932"/>
      <c r="J195" s="932"/>
      <c r="K195" s="932"/>
      <c r="L195" s="932"/>
      <c r="M195" s="932"/>
      <c r="O195" s="459" t="s">
        <v>1751</v>
      </c>
      <c r="P195" s="2196" t="s">
        <v>3012</v>
      </c>
      <c r="Q195" s="562"/>
    </row>
    <row r="196" spans="1:32" s="137" customFormat="1" ht="21.75" customHeight="1">
      <c r="A196" s="146"/>
      <c r="C196" s="932"/>
      <c r="D196" s="166" t="s">
        <v>1752</v>
      </c>
      <c r="E196" s="3091" t="s">
        <v>3774</v>
      </c>
      <c r="F196" s="3091"/>
      <c r="G196" s="3091"/>
      <c r="H196" s="3091"/>
      <c r="I196" s="3091"/>
      <c r="J196" s="3091"/>
      <c r="K196" s="3091"/>
      <c r="L196" s="3091"/>
      <c r="M196" s="3091"/>
      <c r="N196" s="3091"/>
      <c r="O196" s="166" t="s">
        <v>1752</v>
      </c>
      <c r="P196" s="2262" t="s">
        <v>3012</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196" t="s">
        <v>3012</v>
      </c>
      <c r="Q197" s="562"/>
    </row>
    <row r="198" spans="1:32" s="137" customFormat="1" ht="21.75" customHeight="1">
      <c r="A198" s="146"/>
      <c r="C198" s="932"/>
      <c r="D198" s="166" t="s">
        <v>1561</v>
      </c>
      <c r="E198" s="3091" t="s">
        <v>2666</v>
      </c>
      <c r="F198" s="3091"/>
      <c r="G198" s="3091"/>
      <c r="H198" s="3091"/>
      <c r="I198" s="3091"/>
      <c r="J198" s="3091"/>
      <c r="K198" s="3091"/>
      <c r="L198" s="3091"/>
      <c r="M198" s="3091"/>
      <c r="N198" s="3091"/>
      <c r="O198" s="166" t="s">
        <v>1561</v>
      </c>
      <c r="P198" s="2262" t="s">
        <v>4601</v>
      </c>
      <c r="Q198" s="564"/>
      <c r="AE198" s="487"/>
      <c r="AF198" s="487"/>
    </row>
    <row r="199" spans="1:32" s="137" customFormat="1" ht="21.75" customHeight="1">
      <c r="A199" s="146"/>
      <c r="C199" s="932"/>
      <c r="D199" s="166" t="s">
        <v>1562</v>
      </c>
      <c r="E199" s="3091" t="s">
        <v>3930</v>
      </c>
      <c r="F199" s="3091"/>
      <c r="G199" s="3091"/>
      <c r="H199" s="3091"/>
      <c r="I199" s="3091"/>
      <c r="J199" s="3091"/>
      <c r="K199" s="3091"/>
      <c r="L199" s="3091"/>
      <c r="M199" s="3091"/>
      <c r="N199" s="3091"/>
      <c r="O199" s="166" t="s">
        <v>1562</v>
      </c>
      <c r="P199" s="2262" t="s">
        <v>4601</v>
      </c>
      <c r="Q199" s="564"/>
      <c r="AE199" s="487"/>
      <c r="AF199" s="487"/>
    </row>
    <row r="200" spans="1:32" ht="21.75" customHeight="1">
      <c r="A200" s="146" t="s">
        <v>2132</v>
      </c>
      <c r="B200" s="3091" t="s">
        <v>2667</v>
      </c>
      <c r="C200" s="3091"/>
      <c r="D200" s="3091"/>
      <c r="E200" s="3091"/>
      <c r="F200" s="3091"/>
      <c r="G200" s="3091"/>
      <c r="H200" s="3091"/>
      <c r="I200" s="3091"/>
      <c r="J200" s="3091"/>
      <c r="K200" s="3091"/>
      <c r="L200" s="3091"/>
      <c r="M200" s="3091"/>
      <c r="N200" s="3091"/>
      <c r="O200" s="166" t="s">
        <v>2132</v>
      </c>
      <c r="P200" s="2262" t="s">
        <v>3012</v>
      </c>
      <c r="Q200" s="564"/>
    </row>
    <row r="201" spans="1:32" ht="12" customHeight="1">
      <c r="A201" s="146" t="s">
        <v>1748</v>
      </c>
      <c r="B201" s="932" t="s">
        <v>2396</v>
      </c>
      <c r="D201" s="932"/>
      <c r="E201" s="932"/>
      <c r="F201" s="932"/>
      <c r="G201" s="932"/>
      <c r="H201" s="932"/>
      <c r="I201" s="932"/>
      <c r="J201" s="932"/>
      <c r="K201" s="932"/>
      <c r="L201" s="932"/>
      <c r="M201" s="932"/>
      <c r="O201" s="166" t="s">
        <v>1748</v>
      </c>
      <c r="P201" s="2192" t="s">
        <v>3012</v>
      </c>
      <c r="Q201" s="563"/>
    </row>
    <row r="202" spans="1:32" ht="12" customHeight="1">
      <c r="B202" s="145" t="s">
        <v>3781</v>
      </c>
      <c r="D202" s="145"/>
      <c r="E202" s="145"/>
      <c r="F202" s="145"/>
      <c r="G202" s="145"/>
      <c r="H202" s="41"/>
      <c r="I202" s="1597"/>
      <c r="J202" s="1597"/>
      <c r="K202" s="1597"/>
      <c r="L202" s="1586"/>
      <c r="M202" s="1586"/>
      <c r="N202" s="1586"/>
      <c r="O202" s="1586"/>
      <c r="P202" s="1586"/>
      <c r="Q202" s="955"/>
    </row>
    <row r="203" spans="1:32" ht="26.25" customHeight="1">
      <c r="A203" s="3101" t="s">
        <v>4723</v>
      </c>
      <c r="B203" s="3102"/>
      <c r="C203" s="3102"/>
      <c r="D203" s="3102"/>
      <c r="E203" s="3102"/>
      <c r="F203" s="3102"/>
      <c r="G203" s="3102"/>
      <c r="H203" s="3102"/>
      <c r="I203" s="3102"/>
      <c r="J203" s="3102"/>
      <c r="K203" s="3102"/>
      <c r="L203" s="3102"/>
      <c r="M203" s="3102"/>
      <c r="N203" s="3102"/>
      <c r="O203" s="3102"/>
      <c r="P203" s="3102"/>
      <c r="Q203" s="3103"/>
      <c r="U203" s="140"/>
      <c r="V203" s="140"/>
      <c r="W203" s="140"/>
      <c r="X203" s="140"/>
      <c r="Y203" s="140"/>
      <c r="Z203" s="140"/>
      <c r="AA203" s="140"/>
      <c r="AB203" s="140"/>
      <c r="AC203" s="140"/>
      <c r="AD203" s="140"/>
      <c r="AE203" s="486"/>
    </row>
    <row r="204" spans="1:32" ht="12" customHeight="1">
      <c r="B204" s="141" t="s">
        <v>1881</v>
      </c>
      <c r="C204" s="142"/>
      <c r="D204" s="1588"/>
      <c r="E204" s="1588"/>
      <c r="F204" s="1588"/>
      <c r="G204" s="1588"/>
      <c r="H204" s="1588"/>
      <c r="I204" s="1588"/>
      <c r="J204" s="1588"/>
      <c r="K204" s="1588"/>
      <c r="L204" s="1588"/>
      <c r="M204" s="1588"/>
      <c r="N204" s="1588"/>
      <c r="O204" s="1588"/>
      <c r="P204" s="1588"/>
      <c r="Q204" s="1588"/>
    </row>
    <row r="205" spans="1:32" ht="11.45" customHeight="1">
      <c r="A205" s="3093"/>
      <c r="B205" s="3094"/>
      <c r="C205" s="3094"/>
      <c r="D205" s="3094"/>
      <c r="E205" s="3094"/>
      <c r="F205" s="3094"/>
      <c r="G205" s="3094"/>
      <c r="H205" s="3094"/>
      <c r="I205" s="3094"/>
      <c r="J205" s="3094"/>
      <c r="K205" s="3094"/>
      <c r="L205" s="3094"/>
      <c r="M205" s="3094"/>
      <c r="N205" s="3094"/>
      <c r="O205" s="3094"/>
      <c r="P205" s="3094"/>
      <c r="Q205" s="3095"/>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2677</v>
      </c>
      <c r="C207" s="1583"/>
      <c r="D207" s="1588"/>
      <c r="E207" s="151"/>
      <c r="F207" s="151"/>
      <c r="G207" s="1588"/>
      <c r="J207" s="957"/>
      <c r="K207" s="510"/>
      <c r="L207" s="510"/>
      <c r="M207" s="510"/>
      <c r="N207" s="510"/>
      <c r="O207" s="136" t="s">
        <v>1882</v>
      </c>
      <c r="P207" s="3096"/>
      <c r="Q207" s="3124"/>
    </row>
    <row r="208" spans="1:32" ht="11.25" customHeight="1">
      <c r="A208" s="143"/>
      <c r="B208" s="144" t="s">
        <v>98</v>
      </c>
      <c r="D208" s="144"/>
      <c r="E208" s="144"/>
      <c r="F208" s="144"/>
      <c r="G208" s="144"/>
      <c r="H208" s="68" t="s">
        <v>1750</v>
      </c>
      <c r="I208" s="53" t="s">
        <v>153</v>
      </c>
      <c r="J208" s="3118" t="s">
        <v>1858</v>
      </c>
      <c r="K208" s="3119"/>
      <c r="L208" s="3119"/>
      <c r="M208" s="3119"/>
      <c r="N208" s="3120"/>
      <c r="O208" s="68" t="s">
        <v>1750</v>
      </c>
      <c r="P208" s="2193" t="s">
        <v>3015</v>
      </c>
      <c r="Q208" s="561"/>
    </row>
    <row r="209" spans="1:31" ht="11.25" customHeight="1">
      <c r="A209" s="143"/>
      <c r="B209" s="145" t="s">
        <v>3781</v>
      </c>
      <c r="C209" s="107"/>
      <c r="D209" s="107"/>
      <c r="E209" s="107"/>
      <c r="F209" s="107"/>
      <c r="H209" s="68" t="s">
        <v>1751</v>
      </c>
      <c r="I209" s="53" t="s">
        <v>1608</v>
      </c>
      <c r="J209" s="3115" t="s">
        <v>4600</v>
      </c>
      <c r="K209" s="3116"/>
      <c r="L209" s="3116"/>
      <c r="M209" s="3116"/>
      <c r="N209" s="3117"/>
      <c r="O209" s="68" t="s">
        <v>1751</v>
      </c>
      <c r="P209" s="2192" t="s">
        <v>3012</v>
      </c>
      <c r="Q209" s="563"/>
    </row>
    <row r="210" spans="1:31" ht="11.45" customHeight="1">
      <c r="A210" s="3101" t="s">
        <v>4599</v>
      </c>
      <c r="B210" s="3102"/>
      <c r="C210" s="3102"/>
      <c r="D210" s="3102"/>
      <c r="E210" s="3102"/>
      <c r="F210" s="3102"/>
      <c r="G210" s="3102"/>
      <c r="H210" s="3102"/>
      <c r="I210" s="3102"/>
      <c r="J210" s="3102"/>
      <c r="K210" s="3102"/>
      <c r="L210" s="3102"/>
      <c r="M210" s="3102"/>
      <c r="N210" s="3102"/>
      <c r="O210" s="3102"/>
      <c r="P210" s="3102"/>
      <c r="Q210" s="3103"/>
      <c r="U210" s="140"/>
      <c r="V210" s="140"/>
      <c r="W210" s="140"/>
      <c r="X210" s="140"/>
      <c r="Y210" s="140"/>
      <c r="Z210" s="140"/>
      <c r="AA210" s="140"/>
      <c r="AB210" s="140"/>
      <c r="AC210" s="140"/>
      <c r="AD210" s="140"/>
      <c r="AE210" s="486"/>
    </row>
    <row r="211" spans="1:31" ht="11.25" customHeight="1">
      <c r="B211" s="141" t="s">
        <v>1881</v>
      </c>
      <c r="C211" s="142"/>
      <c r="D211" s="1588"/>
      <c r="E211" s="1588"/>
      <c r="F211" s="1588"/>
      <c r="G211" s="1588"/>
      <c r="H211" s="1588"/>
      <c r="I211" s="1588"/>
      <c r="J211" s="1588"/>
      <c r="K211" s="1588"/>
      <c r="L211" s="1588"/>
      <c r="M211" s="1588"/>
      <c r="N211" s="1588"/>
      <c r="O211" s="1588"/>
      <c r="P211" s="1588"/>
      <c r="Q211" s="1588"/>
    </row>
    <row r="212" spans="1:31" ht="11.45" customHeight="1">
      <c r="A212" s="3093"/>
      <c r="B212" s="3094"/>
      <c r="C212" s="3094"/>
      <c r="D212" s="3094"/>
      <c r="E212" s="3094"/>
      <c r="F212" s="3094"/>
      <c r="G212" s="3094"/>
      <c r="H212" s="3094"/>
      <c r="I212" s="3094"/>
      <c r="J212" s="3094"/>
      <c r="K212" s="3094"/>
      <c r="L212" s="3094"/>
      <c r="M212" s="3094"/>
      <c r="N212" s="3094"/>
      <c r="O212" s="3094"/>
      <c r="P212" s="3094"/>
      <c r="Q212" s="3095"/>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2678</v>
      </c>
      <c r="C214" s="4"/>
      <c r="D214" s="89"/>
      <c r="E214" s="89"/>
      <c r="F214" s="89"/>
      <c r="G214" s="1588"/>
      <c r="H214" s="1588"/>
      <c r="I214" s="1588"/>
      <c r="J214" s="1588"/>
      <c r="K214" s="1588"/>
      <c r="L214" s="1588"/>
      <c r="M214" s="1588"/>
      <c r="O214" s="136" t="s">
        <v>1882</v>
      </c>
      <c r="P214" s="3096"/>
      <c r="Q214" s="3124"/>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193" t="s">
        <v>3015</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t="s">
        <v>3015</v>
      </c>
      <c r="Q217" s="562"/>
    </row>
    <row r="218" spans="1:31" ht="11.45" customHeight="1">
      <c r="A218" s="146" t="s">
        <v>2002</v>
      </c>
      <c r="B218" s="3091" t="s">
        <v>1864</v>
      </c>
      <c r="C218" s="3091"/>
      <c r="D218" s="3091"/>
      <c r="E218" s="3091"/>
      <c r="F218" s="3091"/>
      <c r="G218" s="3091"/>
      <c r="H218" s="68" t="s">
        <v>1750</v>
      </c>
      <c r="I218" s="53" t="s">
        <v>641</v>
      </c>
      <c r="J218" s="3118" t="s">
        <v>4598</v>
      </c>
      <c r="K218" s="3119"/>
      <c r="L218" s="3119"/>
      <c r="M218" s="3119"/>
      <c r="N218" s="3120"/>
      <c r="O218" s="68" t="s">
        <v>1458</v>
      </c>
      <c r="P218" s="2196" t="s">
        <v>3012</v>
      </c>
      <c r="Q218" s="562"/>
    </row>
    <row r="219" spans="1:31" ht="11.45" customHeight="1">
      <c r="A219" s="155"/>
      <c r="B219" s="3091"/>
      <c r="C219" s="3091"/>
      <c r="D219" s="3091"/>
      <c r="E219" s="3091"/>
      <c r="F219" s="3091"/>
      <c r="G219" s="3091"/>
      <c r="H219" s="68" t="s">
        <v>1751</v>
      </c>
      <c r="I219" s="53" t="s">
        <v>117</v>
      </c>
      <c r="J219" s="3115" t="s">
        <v>4598</v>
      </c>
      <c r="K219" s="3116"/>
      <c r="L219" s="3116"/>
      <c r="M219" s="3116"/>
      <c r="N219" s="3117"/>
      <c r="O219" s="68" t="s">
        <v>1751</v>
      </c>
      <c r="P219" s="2196" t="s">
        <v>3012</v>
      </c>
      <c r="Q219" s="562"/>
    </row>
    <row r="220" spans="1:31" ht="12" customHeight="1">
      <c r="A220" s="48" t="s">
        <v>757</v>
      </c>
      <c r="B220" s="53" t="s">
        <v>3937</v>
      </c>
      <c r="D220" s="53"/>
      <c r="E220" s="53"/>
      <c r="F220" s="53"/>
      <c r="G220" s="53"/>
      <c r="H220" s="53"/>
      <c r="I220" s="53"/>
      <c r="J220" s="53"/>
      <c r="K220" s="43"/>
      <c r="L220" s="53"/>
      <c r="M220" s="53"/>
      <c r="O220" s="484" t="s">
        <v>757</v>
      </c>
      <c r="P220" s="2196" t="s">
        <v>3015</v>
      </c>
      <c r="Q220" s="562"/>
    </row>
    <row r="221" spans="1:31" ht="12" customHeight="1">
      <c r="A221" s="48" t="s">
        <v>2132</v>
      </c>
      <c r="B221" s="53" t="s">
        <v>3938</v>
      </c>
      <c r="D221" s="53"/>
      <c r="E221" s="53"/>
      <c r="F221" s="53"/>
      <c r="G221" s="53"/>
      <c r="H221" s="53"/>
      <c r="I221" s="53"/>
      <c r="J221" s="53"/>
      <c r="K221" s="43"/>
      <c r="L221" s="53"/>
      <c r="M221" s="53"/>
      <c r="O221" s="484" t="s">
        <v>2132</v>
      </c>
      <c r="P221" s="2192" t="s">
        <v>3015</v>
      </c>
      <c r="Q221" s="563"/>
    </row>
    <row r="222" spans="1:31" ht="11.25" customHeight="1">
      <c r="B222" s="145" t="s">
        <v>3781</v>
      </c>
      <c r="D222" s="145"/>
      <c r="E222" s="145"/>
      <c r="F222" s="145"/>
      <c r="G222" s="145"/>
      <c r="H222" s="41"/>
      <c r="I222" s="1597"/>
      <c r="J222" s="1597"/>
      <c r="K222" s="1597"/>
      <c r="L222" s="1586"/>
      <c r="M222" s="1586"/>
      <c r="N222" s="1586"/>
      <c r="O222" s="1586"/>
      <c r="P222" s="1586"/>
      <c r="Q222" s="955"/>
    </row>
    <row r="223" spans="1:31" ht="33" customHeight="1">
      <c r="A223" s="3101" t="s">
        <v>4597</v>
      </c>
      <c r="B223" s="3102"/>
      <c r="C223" s="3102"/>
      <c r="D223" s="3102"/>
      <c r="E223" s="3102"/>
      <c r="F223" s="3102"/>
      <c r="G223" s="3102"/>
      <c r="H223" s="3102"/>
      <c r="I223" s="3102"/>
      <c r="J223" s="3102"/>
      <c r="K223" s="3102"/>
      <c r="L223" s="3102"/>
      <c r="M223" s="3102"/>
      <c r="N223" s="3102"/>
      <c r="O223" s="3102"/>
      <c r="P223" s="3102"/>
      <c r="Q223" s="3103"/>
      <c r="U223" s="140"/>
      <c r="V223" s="140"/>
      <c r="W223" s="140"/>
      <c r="X223" s="140"/>
      <c r="Y223" s="140"/>
      <c r="Z223" s="140"/>
      <c r="AA223" s="140"/>
      <c r="AB223" s="140"/>
      <c r="AC223" s="140"/>
      <c r="AD223" s="140"/>
      <c r="AE223" s="486"/>
    </row>
    <row r="224" spans="1:31" ht="11.25" customHeight="1">
      <c r="B224" s="141" t="s">
        <v>1881</v>
      </c>
      <c r="C224" s="142"/>
      <c r="D224" s="1588"/>
      <c r="E224" s="1588"/>
      <c r="F224" s="1588"/>
      <c r="G224" s="1588"/>
      <c r="H224" s="1588"/>
      <c r="I224" s="1588"/>
      <c r="J224" s="1588"/>
      <c r="K224" s="1588"/>
      <c r="L224" s="1588"/>
      <c r="M224" s="1588"/>
      <c r="N224" s="1588"/>
      <c r="O224" s="1588"/>
      <c r="P224" s="1588"/>
      <c r="Q224" s="1588"/>
    </row>
    <row r="225" spans="1:32" ht="11.45" customHeight="1">
      <c r="A225" s="3093"/>
      <c r="B225" s="3094"/>
      <c r="C225" s="3094"/>
      <c r="D225" s="3094"/>
      <c r="E225" s="3094"/>
      <c r="F225" s="3094"/>
      <c r="G225" s="3094"/>
      <c r="H225" s="3094"/>
      <c r="I225" s="3094"/>
      <c r="J225" s="3094"/>
      <c r="K225" s="3094"/>
      <c r="L225" s="3094"/>
      <c r="M225" s="3094"/>
      <c r="N225" s="3094"/>
      <c r="O225" s="3094"/>
      <c r="P225" s="3094"/>
      <c r="Q225" s="3095"/>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2679</v>
      </c>
      <c r="C227" s="116"/>
      <c r="D227" s="1588"/>
      <c r="E227" s="1588"/>
      <c r="F227" s="1588"/>
      <c r="G227" s="1588"/>
      <c r="H227" s="1588"/>
      <c r="I227" s="1588"/>
      <c r="J227" s="1588"/>
      <c r="K227" s="1588"/>
      <c r="L227" s="1588"/>
      <c r="M227" s="1588"/>
      <c r="O227" s="136" t="s">
        <v>1882</v>
      </c>
      <c r="P227" s="3096"/>
      <c r="Q227" s="3124"/>
    </row>
    <row r="228" spans="1:32" s="28" customFormat="1" ht="11.45" customHeight="1">
      <c r="B228" s="149" t="s">
        <v>1203</v>
      </c>
      <c r="N228" s="124"/>
      <c r="P228" s="2210" t="s">
        <v>3015</v>
      </c>
      <c r="Q228" s="559"/>
      <c r="AE228" s="120"/>
      <c r="AF228" s="120"/>
    </row>
    <row r="229" spans="1:32" ht="12" customHeight="1">
      <c r="A229" s="48" t="s">
        <v>2000</v>
      </c>
      <c r="B229" s="37" t="s">
        <v>3732</v>
      </c>
      <c r="D229" s="43"/>
      <c r="E229" s="43"/>
      <c r="F229" s="43"/>
      <c r="G229" s="43"/>
      <c r="H229" s="43"/>
      <c r="I229" s="43"/>
      <c r="J229" s="43"/>
      <c r="K229" s="43"/>
      <c r="L229" s="43"/>
      <c r="M229" s="43"/>
      <c r="O229" s="484" t="s">
        <v>2000</v>
      </c>
      <c r="P229" s="2210" t="s">
        <v>4553</v>
      </c>
      <c r="Q229" s="561"/>
    </row>
    <row r="230" spans="1:32" ht="11.45" customHeight="1">
      <c r="A230" s="48"/>
      <c r="B230" s="68" t="s">
        <v>1750</v>
      </c>
      <c r="C230" s="53" t="s">
        <v>1947</v>
      </c>
      <c r="E230" s="53"/>
      <c r="F230" s="53"/>
      <c r="G230" s="53"/>
      <c r="H230" s="53"/>
      <c r="I230" s="43"/>
      <c r="J230" s="68" t="s">
        <v>1498</v>
      </c>
      <c r="K230" s="3118" t="s">
        <v>537</v>
      </c>
      <c r="L230" s="3120"/>
      <c r="Q230" s="562"/>
    </row>
    <row r="231" spans="1:32" ht="11.45" customHeight="1">
      <c r="A231" s="48"/>
      <c r="B231" s="68" t="s">
        <v>1751</v>
      </c>
      <c r="C231" s="956" t="s">
        <v>2743</v>
      </c>
      <c r="E231" s="956"/>
      <c r="F231" s="956"/>
      <c r="G231" s="956"/>
      <c r="H231" s="956"/>
      <c r="I231" s="43"/>
      <c r="J231" s="68" t="s">
        <v>1499</v>
      </c>
      <c r="K231" s="3187" t="s">
        <v>4596</v>
      </c>
      <c r="L231" s="3188"/>
      <c r="M231" s="3190" t="s">
        <v>2744</v>
      </c>
      <c r="N231" s="3191"/>
      <c r="O231" s="3191"/>
      <c r="P231" s="3192"/>
      <c r="Q231" s="562"/>
    </row>
    <row r="232" spans="1:32" ht="11.45" customHeight="1">
      <c r="A232" s="48"/>
      <c r="B232" s="68" t="s">
        <v>1752</v>
      </c>
      <c r="C232" s="956" t="s">
        <v>563</v>
      </c>
      <c r="E232" s="956"/>
      <c r="F232" s="956"/>
      <c r="G232" s="956"/>
      <c r="H232" s="956"/>
      <c r="I232" s="43"/>
      <c r="J232" s="68" t="s">
        <v>1500</v>
      </c>
      <c r="K232" s="3115" t="s">
        <v>4595</v>
      </c>
      <c r="L232" s="3116"/>
      <c r="M232" s="3117"/>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210" t="s">
        <v>4553</v>
      </c>
      <c r="Q233" s="559"/>
    </row>
    <row r="234" spans="1:32" ht="10.9" customHeight="1">
      <c r="A234" s="48"/>
      <c r="B234" s="53" t="s">
        <v>3608</v>
      </c>
      <c r="D234" s="53"/>
      <c r="E234" s="53"/>
      <c r="F234" s="53"/>
      <c r="G234" s="53"/>
      <c r="H234" s="53"/>
      <c r="I234" s="53"/>
      <c r="J234" s="53"/>
      <c r="K234" s="43"/>
      <c r="L234" s="43"/>
      <c r="M234" s="43"/>
      <c r="N234" s="43"/>
      <c r="O234" s="43"/>
      <c r="P234" s="3189" t="s">
        <v>2</v>
      </c>
      <c r="Q234" s="3189"/>
    </row>
    <row r="235" spans="1:32" ht="10.9" customHeight="1">
      <c r="A235" s="48"/>
      <c r="C235" s="53" t="s">
        <v>2745</v>
      </c>
      <c r="D235" s="53"/>
      <c r="E235" s="53"/>
      <c r="F235" s="53"/>
      <c r="H235" s="302" t="s">
        <v>781</v>
      </c>
      <c r="I235" s="303" t="s">
        <v>782</v>
      </c>
      <c r="K235" s="53" t="s">
        <v>2745</v>
      </c>
      <c r="M235" s="43"/>
      <c r="N235" s="43"/>
      <c r="O235" s="302"/>
      <c r="P235" s="304" t="s">
        <v>781</v>
      </c>
      <c r="Q235" s="303" t="s">
        <v>782</v>
      </c>
    </row>
    <row r="236" spans="1:32" s="44" customFormat="1" ht="11.45" customHeight="1">
      <c r="A236" s="52"/>
      <c r="B236" s="68" t="s">
        <v>1750</v>
      </c>
      <c r="C236" s="3109" t="s">
        <v>2122</v>
      </c>
      <c r="D236" s="3110"/>
      <c r="E236" s="3110"/>
      <c r="F236" s="3110"/>
      <c r="G236" s="3111"/>
      <c r="H236" s="568"/>
      <c r="I236" s="569"/>
      <c r="J236" s="68" t="s">
        <v>1752</v>
      </c>
      <c r="K236" s="3109" t="s">
        <v>4724</v>
      </c>
      <c r="L236" s="3110"/>
      <c r="M236" s="3110"/>
      <c r="N236" s="3110"/>
      <c r="O236" s="3111"/>
      <c r="P236" s="561"/>
      <c r="Q236" s="569"/>
      <c r="AE236" s="55"/>
      <c r="AF236" s="55"/>
    </row>
    <row r="237" spans="1:32" s="44" customFormat="1" ht="11.45" customHeight="1">
      <c r="A237" s="52"/>
      <c r="B237" s="68" t="s">
        <v>1751</v>
      </c>
      <c r="C237" s="3106" t="s">
        <v>4725</v>
      </c>
      <c r="D237" s="3107"/>
      <c r="E237" s="3107"/>
      <c r="F237" s="3107"/>
      <c r="G237" s="3108"/>
      <c r="H237" s="570"/>
      <c r="I237" s="571"/>
      <c r="J237" s="68" t="s">
        <v>2382</v>
      </c>
      <c r="K237" s="3106"/>
      <c r="L237" s="3107"/>
      <c r="M237" s="3107"/>
      <c r="N237" s="3107"/>
      <c r="O237" s="3108"/>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4553</v>
      </c>
      <c r="Q238" s="561"/>
    </row>
    <row r="239" spans="1:32" ht="11.45" customHeight="1">
      <c r="A239" s="48"/>
      <c r="B239" s="68" t="s">
        <v>1750</v>
      </c>
      <c r="C239" s="53" t="s">
        <v>3489</v>
      </c>
      <c r="E239" s="53"/>
      <c r="F239" s="53"/>
      <c r="L239" s="34"/>
      <c r="M239" s="34"/>
      <c r="O239" s="68" t="s">
        <v>1750</v>
      </c>
      <c r="P239" s="2196" t="s">
        <v>3012</v>
      </c>
      <c r="Q239" s="562"/>
    </row>
    <row r="240" spans="1:32" ht="11.45" customHeight="1">
      <c r="B240" s="68" t="s">
        <v>1751</v>
      </c>
      <c r="C240" s="956" t="s">
        <v>2828</v>
      </c>
      <c r="E240" s="956"/>
      <c r="F240" s="956"/>
      <c r="L240" s="34"/>
      <c r="M240" s="34"/>
      <c r="O240" s="68" t="s">
        <v>1751</v>
      </c>
      <c r="P240" s="2196" t="s">
        <v>3012</v>
      </c>
      <c r="Q240" s="562"/>
    </row>
    <row r="241" spans="1:31" ht="11.45" customHeight="1">
      <c r="B241" s="68" t="s">
        <v>1752</v>
      </c>
      <c r="C241" s="956" t="s">
        <v>2829</v>
      </c>
      <c r="E241" s="956"/>
      <c r="F241" s="956"/>
      <c r="G241" s="956"/>
      <c r="H241" s="956"/>
      <c r="I241" s="43"/>
      <c r="J241" s="34"/>
      <c r="K241" s="43"/>
      <c r="L241" s="34"/>
      <c r="M241" s="34"/>
      <c r="O241" s="68" t="s">
        <v>1752</v>
      </c>
      <c r="P241" s="2196" t="s">
        <v>3012</v>
      </c>
      <c r="Q241" s="562"/>
    </row>
    <row r="242" spans="1:31" ht="11.45" customHeight="1">
      <c r="A242" s="48"/>
      <c r="B242" s="68" t="s">
        <v>2382</v>
      </c>
      <c r="C242" s="956" t="s">
        <v>2830</v>
      </c>
      <c r="E242" s="956"/>
      <c r="F242" s="956"/>
      <c r="G242" s="956"/>
      <c r="H242" s="956"/>
      <c r="I242" s="43"/>
      <c r="J242" s="34"/>
      <c r="K242" s="43"/>
      <c r="L242" s="34"/>
      <c r="M242" s="34"/>
      <c r="O242" s="68" t="s">
        <v>2382</v>
      </c>
      <c r="P242" s="2196" t="s">
        <v>3012</v>
      </c>
      <c r="Q242" s="562"/>
    </row>
    <row r="243" spans="1:31" ht="11.45" customHeight="1">
      <c r="A243" s="48"/>
      <c r="B243" s="68" t="s">
        <v>1561</v>
      </c>
      <c r="C243" s="956" t="s">
        <v>2831</v>
      </c>
      <c r="E243" s="956"/>
      <c r="F243" s="956"/>
      <c r="G243" s="956"/>
      <c r="H243" s="956"/>
      <c r="I243" s="43"/>
      <c r="J243" s="34"/>
      <c r="K243" s="43"/>
      <c r="L243" s="34"/>
      <c r="M243" s="34"/>
      <c r="O243" s="68" t="s">
        <v>1561</v>
      </c>
      <c r="P243" s="2196" t="s">
        <v>3012</v>
      </c>
      <c r="Q243" s="562"/>
    </row>
    <row r="244" spans="1:31" ht="11.45" customHeight="1">
      <c r="A244" s="48"/>
      <c r="B244" s="484" t="s">
        <v>1562</v>
      </c>
      <c r="C244" s="53" t="s">
        <v>783</v>
      </c>
      <c r="E244" s="53"/>
      <c r="F244" s="53"/>
      <c r="G244" s="53"/>
      <c r="H244" s="53"/>
      <c r="I244" s="43"/>
      <c r="J244" s="34"/>
      <c r="K244" s="43"/>
      <c r="L244" s="34"/>
      <c r="M244" s="34"/>
      <c r="O244" s="484" t="s">
        <v>2819</v>
      </c>
      <c r="P244" s="2196" t="s">
        <v>3012</v>
      </c>
      <c r="Q244" s="562"/>
    </row>
    <row r="245" spans="1:31" ht="11.45" customHeight="1">
      <c r="A245" s="48"/>
      <c r="B245" s="68"/>
      <c r="C245" s="53" t="s">
        <v>1501</v>
      </c>
      <c r="E245" s="53"/>
      <c r="F245" s="53"/>
      <c r="G245" s="53"/>
      <c r="H245" s="53"/>
      <c r="I245" s="43"/>
      <c r="J245" s="34"/>
      <c r="K245" s="43"/>
      <c r="L245" s="34"/>
      <c r="M245" s="34"/>
      <c r="O245" s="484" t="s">
        <v>2820</v>
      </c>
      <c r="P245" s="2192" t="s">
        <v>3015</v>
      </c>
      <c r="Q245" s="563"/>
    </row>
    <row r="246" spans="1:31" ht="12" customHeight="1">
      <c r="A246" s="48" t="s">
        <v>2132</v>
      </c>
      <c r="B246" s="53" t="s">
        <v>3689</v>
      </c>
      <c r="C246" s="53"/>
      <c r="E246" s="53"/>
      <c r="F246" s="53"/>
      <c r="G246" s="53"/>
      <c r="H246" s="53"/>
      <c r="I246" s="53"/>
      <c r="J246" s="53"/>
      <c r="K246" s="43"/>
      <c r="L246" s="53"/>
      <c r="M246" s="53"/>
      <c r="O246" s="484" t="s">
        <v>2132</v>
      </c>
      <c r="P246" s="2193" t="s">
        <v>979</v>
      </c>
      <c r="Q246" s="561"/>
    </row>
    <row r="247" spans="1:31" ht="11.45" customHeight="1">
      <c r="B247" s="68" t="s">
        <v>1750</v>
      </c>
      <c r="C247" s="40" t="s">
        <v>1267</v>
      </c>
      <c r="E247" s="43"/>
      <c r="F247" s="43"/>
      <c r="G247" s="40"/>
      <c r="H247" s="956"/>
      <c r="I247" s="43"/>
      <c r="J247" s="956"/>
      <c r="K247" s="43"/>
      <c r="L247" s="956"/>
      <c r="M247" s="956"/>
      <c r="O247" s="68" t="s">
        <v>1750</v>
      </c>
      <c r="P247" s="2196"/>
      <c r="Q247" s="562"/>
    </row>
    <row r="248" spans="1:31" ht="11.45" customHeight="1">
      <c r="B248" s="68" t="s">
        <v>1751</v>
      </c>
      <c r="C248" s="37" t="s">
        <v>3939</v>
      </c>
      <c r="E248" s="43"/>
      <c r="F248" s="43"/>
      <c r="G248" s="956"/>
      <c r="H248" s="956"/>
      <c r="I248" s="43"/>
      <c r="J248" s="956"/>
      <c r="K248" s="43"/>
      <c r="L248" s="956"/>
      <c r="M248" s="956"/>
      <c r="O248" s="68" t="s">
        <v>1751</v>
      </c>
      <c r="P248" s="2192"/>
      <c r="Q248" s="563"/>
    </row>
    <row r="249" spans="1:31" ht="11.25" customHeight="1">
      <c r="B249" s="145" t="s">
        <v>3781</v>
      </c>
      <c r="D249" s="145"/>
      <c r="E249" s="145"/>
      <c r="F249" s="145"/>
      <c r="G249" s="145"/>
      <c r="H249" s="41"/>
      <c r="I249" s="1597"/>
      <c r="J249" s="1597"/>
      <c r="K249" s="1597"/>
      <c r="L249" s="1586"/>
      <c r="M249" s="1586"/>
      <c r="N249" s="1586"/>
      <c r="O249" s="1586"/>
      <c r="P249" s="1586"/>
      <c r="Q249" s="955"/>
    </row>
    <row r="250" spans="1:31" ht="33.75" customHeight="1">
      <c r="A250" s="3101" t="s">
        <v>4726</v>
      </c>
      <c r="B250" s="3102"/>
      <c r="C250" s="3102"/>
      <c r="D250" s="3102"/>
      <c r="E250" s="3102"/>
      <c r="F250" s="3102"/>
      <c r="G250" s="3102"/>
      <c r="H250" s="3102"/>
      <c r="I250" s="3102"/>
      <c r="J250" s="3102"/>
      <c r="K250" s="3102"/>
      <c r="L250" s="3102"/>
      <c r="M250" s="3102"/>
      <c r="N250" s="3102"/>
      <c r="O250" s="3102"/>
      <c r="P250" s="3102"/>
      <c r="Q250" s="3103"/>
      <c r="R250" s="461" t="s">
        <v>1266</v>
      </c>
      <c r="S250" s="462"/>
      <c r="U250" s="140"/>
      <c r="V250" s="140"/>
      <c r="W250" s="140"/>
      <c r="X250" s="140"/>
      <c r="Y250" s="140"/>
      <c r="Z250" s="140"/>
      <c r="AA250" s="140"/>
      <c r="AB250" s="140"/>
      <c r="AC250" s="140"/>
      <c r="AD250" s="140"/>
      <c r="AE250" s="486"/>
    </row>
    <row r="251" spans="1:31" ht="11.25" customHeight="1">
      <c r="B251" s="141" t="s">
        <v>1881</v>
      </c>
      <c r="C251" s="142"/>
      <c r="D251" s="1588"/>
      <c r="E251" s="1588"/>
      <c r="F251" s="1588"/>
      <c r="G251" s="1588"/>
      <c r="H251" s="1588"/>
      <c r="I251" s="1588"/>
      <c r="J251" s="1588"/>
      <c r="K251" s="1588"/>
      <c r="L251" s="1588"/>
      <c r="M251" s="1588"/>
      <c r="N251" s="1588"/>
      <c r="O251" s="1588"/>
      <c r="P251" s="1588"/>
      <c r="Q251" s="1588"/>
    </row>
    <row r="252" spans="1:31" ht="11.25" customHeight="1">
      <c r="A252" s="3093"/>
      <c r="B252" s="3094"/>
      <c r="C252" s="3094"/>
      <c r="D252" s="3094"/>
      <c r="E252" s="3094"/>
      <c r="F252" s="3094"/>
      <c r="G252" s="3094"/>
      <c r="H252" s="3094"/>
      <c r="I252" s="3094"/>
      <c r="J252" s="3094"/>
      <c r="K252" s="3094"/>
      <c r="L252" s="3094"/>
      <c r="M252" s="3094"/>
      <c r="N252" s="3094"/>
      <c r="O252" s="3094"/>
      <c r="P252" s="3094"/>
      <c r="Q252" s="3095"/>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2802</v>
      </c>
      <c r="B254" s="4" t="s">
        <v>2680</v>
      </c>
      <c r="C254" s="4"/>
      <c r="D254" s="89"/>
      <c r="E254" s="89"/>
      <c r="F254" s="89"/>
      <c r="G254" s="89"/>
      <c r="H254" s="1588"/>
      <c r="I254" s="1588"/>
      <c r="J254" s="1588"/>
      <c r="K254" s="1588"/>
      <c r="L254" s="3182"/>
      <c r="M254" s="3183"/>
      <c r="O254" s="136" t="s">
        <v>1882</v>
      </c>
      <c r="P254" s="3096"/>
      <c r="Q254" s="3124"/>
    </row>
    <row r="255" spans="1:31" ht="4.9000000000000004" customHeight="1">
      <c r="L255" s="3182"/>
      <c r="M255" s="3183"/>
      <c r="N255" s="56"/>
    </row>
    <row r="256" spans="1:31" ht="11.45" customHeight="1">
      <c r="A256" s="48" t="s">
        <v>2000</v>
      </c>
      <c r="B256" s="53" t="s">
        <v>1280</v>
      </c>
      <c r="D256" s="43"/>
      <c r="E256" s="53"/>
      <c r="F256" s="53"/>
      <c r="J256" s="484" t="s">
        <v>2000</v>
      </c>
      <c r="K256" s="3125" t="s">
        <v>1784</v>
      </c>
      <c r="L256" s="3126"/>
      <c r="M256" s="3126"/>
      <c r="N256" s="3126"/>
      <c r="O256" s="3127"/>
      <c r="P256" s="3176" t="s">
        <v>1784</v>
      </c>
      <c r="Q256" s="3177"/>
    </row>
    <row r="257" spans="1:32" ht="11.45" customHeight="1">
      <c r="A257" s="48" t="s">
        <v>2002</v>
      </c>
      <c r="B257" s="53" t="s">
        <v>2832</v>
      </c>
      <c r="D257" s="53"/>
      <c r="E257" s="53"/>
      <c r="F257" s="53"/>
      <c r="J257" s="484" t="s">
        <v>2002</v>
      </c>
      <c r="K257" s="3184"/>
      <c r="L257" s="3185"/>
      <c r="M257" s="3185"/>
      <c r="N257" s="3185"/>
      <c r="O257" s="3186"/>
      <c r="P257" s="3178"/>
      <c r="Q257" s="3179"/>
    </row>
    <row r="258" spans="1:32" s="152" customFormat="1" ht="11.45" customHeight="1">
      <c r="A258" s="48"/>
      <c r="B258" s="53" t="s">
        <v>1961</v>
      </c>
      <c r="D258" s="53"/>
      <c r="E258" s="53"/>
      <c r="F258" s="53"/>
      <c r="K258" s="3115"/>
      <c r="L258" s="3116"/>
      <c r="M258" s="3116"/>
      <c r="N258" s="3116"/>
      <c r="O258" s="3117"/>
      <c r="P258" s="3180"/>
      <c r="Q258" s="3181"/>
      <c r="AE258" s="488"/>
      <c r="AF258" s="488"/>
    </row>
    <row r="259" spans="1:32" s="152" customFormat="1" ht="11.45" customHeight="1">
      <c r="A259" s="48"/>
      <c r="B259" s="53" t="s">
        <v>2561</v>
      </c>
      <c r="D259" s="53"/>
      <c r="E259" s="53"/>
      <c r="F259" s="53"/>
      <c r="G259" s="53"/>
      <c r="H259" s="53"/>
      <c r="I259" s="97"/>
      <c r="J259" s="97"/>
      <c r="M259" s="37"/>
      <c r="N259" s="1091"/>
      <c r="O259" s="484"/>
      <c r="P259" s="2208"/>
      <c r="Q259" s="1005"/>
      <c r="AE259" s="488"/>
      <c r="AF259" s="488"/>
    </row>
    <row r="260" spans="1:32" s="152" customFormat="1" ht="11.45" customHeight="1">
      <c r="A260" s="48" t="s">
        <v>757</v>
      </c>
      <c r="B260" s="53" t="s">
        <v>3788</v>
      </c>
      <c r="D260" s="53"/>
      <c r="E260" s="53"/>
      <c r="F260" s="53"/>
      <c r="M260" s="37"/>
      <c r="N260" s="1091"/>
      <c r="O260" s="484" t="s">
        <v>757</v>
      </c>
      <c r="P260" s="2193"/>
      <c r="Q260" s="561"/>
      <c r="AE260" s="488"/>
      <c r="AF260" s="488"/>
    </row>
    <row r="261" spans="1:32" s="152" customFormat="1" ht="11.45" customHeight="1">
      <c r="A261" s="48"/>
      <c r="B261" s="53" t="s">
        <v>3787</v>
      </c>
      <c r="D261" s="53"/>
      <c r="E261" s="53"/>
      <c r="F261" s="53"/>
      <c r="K261" s="3125"/>
      <c r="L261" s="3126"/>
      <c r="M261" s="3126"/>
      <c r="N261" s="3126"/>
      <c r="O261" s="3127"/>
      <c r="P261" s="3174"/>
      <c r="Q261" s="3175"/>
      <c r="AE261" s="488"/>
      <c r="AF261" s="488"/>
    </row>
    <row r="262" spans="1:32" s="152" customFormat="1" ht="11.45" customHeight="1">
      <c r="A262" s="48" t="s">
        <v>2132</v>
      </c>
      <c r="B262" s="53" t="s">
        <v>3940</v>
      </c>
      <c r="D262" s="53"/>
      <c r="E262" s="53"/>
      <c r="F262" s="53"/>
      <c r="G262" s="53"/>
      <c r="H262" s="53"/>
      <c r="I262" s="97"/>
      <c r="J262" s="97"/>
      <c r="K262" s="97"/>
      <c r="M262" s="37"/>
      <c r="N262" s="1091"/>
      <c r="O262" s="484" t="s">
        <v>2132</v>
      </c>
      <c r="P262" s="2193"/>
      <c r="Q262" s="561"/>
      <c r="AE262" s="488"/>
      <c r="AF262" s="488"/>
    </row>
    <row r="263" spans="1:32" s="152" customFormat="1" ht="11.45" customHeight="1">
      <c r="A263" s="48"/>
      <c r="B263" s="3091" t="s">
        <v>3789</v>
      </c>
      <c r="C263" s="3091"/>
      <c r="D263" s="3091"/>
      <c r="E263" s="3091"/>
      <c r="F263" s="3091"/>
      <c r="G263" s="3091"/>
      <c r="H263" s="446" t="s">
        <v>4167</v>
      </c>
      <c r="K263" s="97"/>
      <c r="M263" s="37"/>
      <c r="N263" s="1091"/>
      <c r="O263" s="68" t="s">
        <v>1750</v>
      </c>
      <c r="P263" s="2196"/>
      <c r="Q263" s="562"/>
      <c r="AE263" s="488"/>
      <c r="AF263" s="488"/>
    </row>
    <row r="264" spans="1:32" s="152" customFormat="1" ht="11.45" customHeight="1">
      <c r="A264" s="48"/>
      <c r="B264" s="3091"/>
      <c r="C264" s="3091"/>
      <c r="D264" s="3091"/>
      <c r="E264" s="3091"/>
      <c r="F264" s="3091"/>
      <c r="G264" s="3091"/>
      <c r="H264" s="56" t="s">
        <v>4168</v>
      </c>
      <c r="K264" s="97"/>
      <c r="M264" s="37"/>
      <c r="N264" s="1091"/>
      <c r="O264" s="68" t="s">
        <v>1751</v>
      </c>
      <c r="P264" s="2196"/>
      <c r="Q264" s="562"/>
      <c r="AE264" s="488"/>
      <c r="AF264" s="488"/>
    </row>
    <row r="265" spans="1:32" s="152" customFormat="1" ht="11.45" customHeight="1">
      <c r="A265" s="48"/>
      <c r="B265" s="53"/>
      <c r="D265" s="53"/>
      <c r="E265" s="53"/>
      <c r="F265" s="53"/>
      <c r="G265" s="53"/>
      <c r="H265" s="56" t="s">
        <v>4169</v>
      </c>
      <c r="K265" s="97"/>
      <c r="M265" s="37"/>
      <c r="N265" s="1091"/>
      <c r="O265" s="68" t="s">
        <v>1752</v>
      </c>
      <c r="P265" s="2196"/>
      <c r="Q265" s="562"/>
      <c r="AE265" s="488"/>
      <c r="AF265" s="488"/>
    </row>
    <row r="266" spans="1:32" s="152" customFormat="1" ht="11.45" customHeight="1">
      <c r="A266" s="48"/>
      <c r="B266" s="53"/>
      <c r="D266" s="53"/>
      <c r="E266" s="53"/>
      <c r="F266" s="53"/>
      <c r="G266" s="53"/>
      <c r="H266" s="56" t="s">
        <v>4170</v>
      </c>
      <c r="K266" s="97"/>
      <c r="M266" s="37"/>
      <c r="N266" s="1091"/>
      <c r="O266" s="484" t="s">
        <v>2382</v>
      </c>
      <c r="P266" s="2192"/>
      <c r="Q266" s="563"/>
      <c r="AE266" s="488"/>
      <c r="AF266" s="488"/>
    </row>
    <row r="267" spans="1:32" s="152" customFormat="1" ht="22.15" customHeight="1">
      <c r="A267" s="146" t="s">
        <v>1748</v>
      </c>
      <c r="B267" s="3091" t="s">
        <v>3941</v>
      </c>
      <c r="C267" s="3091"/>
      <c r="D267" s="3091"/>
      <c r="E267" s="3091"/>
      <c r="F267" s="3091"/>
      <c r="G267" s="3091"/>
      <c r="H267" s="3091"/>
      <c r="I267" s="3091"/>
      <c r="J267" s="3091"/>
      <c r="K267" s="3091"/>
      <c r="L267" s="3091"/>
      <c r="M267" s="3091"/>
      <c r="N267" s="3091"/>
      <c r="O267" s="166" t="s">
        <v>1748</v>
      </c>
      <c r="P267" s="2264"/>
      <c r="Q267" s="1346"/>
      <c r="T267" s="488"/>
      <c r="AE267" s="488"/>
      <c r="AF267" s="488"/>
    </row>
    <row r="268" spans="1:32" ht="11.25" customHeight="1">
      <c r="B268" s="145" t="s">
        <v>3781</v>
      </c>
      <c r="D268" s="145"/>
      <c r="E268" s="145"/>
      <c r="F268" s="145"/>
      <c r="G268" s="145"/>
      <c r="H268" s="41"/>
      <c r="I268" s="1597"/>
      <c r="J268" s="1597"/>
      <c r="K268" s="1597"/>
      <c r="L268" s="1586"/>
      <c r="M268" s="1586"/>
      <c r="N268" s="1586"/>
      <c r="O268" s="1586"/>
      <c r="P268" s="1586"/>
      <c r="Q268" s="955"/>
    </row>
    <row r="269" spans="1:32" ht="13.15" customHeight="1">
      <c r="A269" s="3101" t="s">
        <v>4594</v>
      </c>
      <c r="B269" s="3102"/>
      <c r="C269" s="3102"/>
      <c r="D269" s="3102"/>
      <c r="E269" s="3102"/>
      <c r="F269" s="3102"/>
      <c r="G269" s="3102"/>
      <c r="H269" s="3102"/>
      <c r="I269" s="3102"/>
      <c r="J269" s="3102"/>
      <c r="K269" s="3102"/>
      <c r="L269" s="3102"/>
      <c r="M269" s="3102"/>
      <c r="N269" s="3102"/>
      <c r="O269" s="3102"/>
      <c r="P269" s="3102"/>
      <c r="Q269" s="3103"/>
      <c r="R269" s="461" t="s">
        <v>1266</v>
      </c>
      <c r="S269" s="462"/>
      <c r="U269" s="140"/>
      <c r="V269" s="140"/>
      <c r="W269" s="140"/>
      <c r="X269" s="140"/>
      <c r="Y269" s="140"/>
      <c r="Z269" s="140"/>
      <c r="AA269" s="140"/>
      <c r="AB269" s="140"/>
      <c r="AC269" s="140"/>
      <c r="AD269" s="140"/>
      <c r="AE269" s="486"/>
    </row>
    <row r="270" spans="1:32" ht="10.9" customHeight="1">
      <c r="B270" s="141" t="s">
        <v>1881</v>
      </c>
      <c r="C270" s="142"/>
      <c r="D270" s="1588"/>
      <c r="E270" s="1588"/>
      <c r="F270" s="1588"/>
      <c r="G270" s="1588"/>
      <c r="H270" s="1588"/>
      <c r="I270" s="1588"/>
      <c r="J270" s="1588"/>
      <c r="K270" s="1588"/>
      <c r="L270" s="1588"/>
      <c r="M270" s="1588"/>
      <c r="N270" s="1588"/>
      <c r="O270" s="1588"/>
      <c r="P270" s="1588"/>
      <c r="Q270" s="1588"/>
    </row>
    <row r="271" spans="1:32" ht="13.15" customHeight="1">
      <c r="A271" s="3093"/>
      <c r="B271" s="3094"/>
      <c r="C271" s="3094"/>
      <c r="D271" s="3094"/>
      <c r="E271" s="3094"/>
      <c r="F271" s="3094"/>
      <c r="G271" s="3094"/>
      <c r="H271" s="3094"/>
      <c r="I271" s="3094"/>
      <c r="J271" s="3094"/>
      <c r="K271" s="3094"/>
      <c r="L271" s="3094"/>
      <c r="M271" s="3094"/>
      <c r="N271" s="3094"/>
      <c r="O271" s="3094"/>
      <c r="P271" s="3094"/>
      <c r="Q271" s="3095"/>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2268</v>
      </c>
      <c r="B273" s="4" t="s">
        <v>2681</v>
      </c>
      <c r="C273" s="4"/>
      <c r="D273" s="89"/>
      <c r="E273" s="89"/>
      <c r="F273" s="89"/>
      <c r="G273" s="89"/>
      <c r="H273" s="1588"/>
      <c r="I273" s="1588"/>
      <c r="J273" s="1588"/>
      <c r="K273" s="1588"/>
      <c r="L273" s="1588"/>
      <c r="M273" s="1588"/>
      <c r="O273" s="136" t="s">
        <v>1882</v>
      </c>
      <c r="P273" s="3096"/>
      <c r="Q273" s="3124"/>
    </row>
    <row r="274" spans="1:32" ht="3" customHeight="1"/>
    <row r="275" spans="1:32" s="429" customFormat="1" ht="21.75" customHeight="1">
      <c r="A275" s="146" t="s">
        <v>2000</v>
      </c>
      <c r="B275" s="3091" t="s">
        <v>3942</v>
      </c>
      <c r="C275" s="3091"/>
      <c r="D275" s="3091"/>
      <c r="E275" s="3091"/>
      <c r="F275" s="3091"/>
      <c r="G275" s="3091"/>
      <c r="H275" s="3091"/>
      <c r="I275" s="3091"/>
      <c r="J275" s="3091"/>
      <c r="K275" s="3091"/>
      <c r="L275" s="3091"/>
      <c r="M275" s="3091"/>
      <c r="N275" s="3091"/>
      <c r="O275" s="166" t="s">
        <v>2000</v>
      </c>
      <c r="P275" s="2236" t="s">
        <v>3012</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192" t="s">
        <v>3012</v>
      </c>
      <c r="Q276" s="563"/>
      <c r="AE276" s="488"/>
      <c r="AF276" s="488"/>
    </row>
    <row r="277" spans="1:32" s="152" customFormat="1" ht="11.45" customHeight="1">
      <c r="A277" s="48" t="s">
        <v>2002</v>
      </c>
      <c r="B277" s="53" t="s">
        <v>3785</v>
      </c>
      <c r="D277" s="53"/>
      <c r="E277" s="53"/>
      <c r="F277" s="53"/>
      <c r="G277" s="53"/>
      <c r="H277" s="53"/>
      <c r="I277" s="53"/>
      <c r="J277" s="53"/>
      <c r="K277" s="53"/>
      <c r="L277" s="53"/>
      <c r="M277" s="53"/>
      <c r="O277" s="484" t="s">
        <v>2002</v>
      </c>
      <c r="P277" s="2192" t="s">
        <v>3012</v>
      </c>
      <c r="Q277" s="563"/>
      <c r="AE277" s="488"/>
      <c r="AF277" s="488"/>
    </row>
    <row r="278" spans="1:32" s="152" customFormat="1" ht="11.45" customHeight="1">
      <c r="A278" s="48" t="s">
        <v>757</v>
      </c>
      <c r="B278" s="53" t="s">
        <v>4171</v>
      </c>
      <c r="D278" s="53"/>
      <c r="E278" s="53"/>
      <c r="F278" s="53"/>
      <c r="G278" s="53"/>
      <c r="H278" s="53"/>
      <c r="I278" s="53"/>
      <c r="J278" s="53"/>
      <c r="K278" s="53"/>
      <c r="L278" s="53"/>
      <c r="M278" s="53"/>
      <c r="O278" s="484" t="s">
        <v>757</v>
      </c>
      <c r="P278" s="2193" t="s">
        <v>3012</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192" t="s">
        <v>3012</v>
      </c>
      <c r="Q279" s="563"/>
      <c r="AE279" s="488"/>
      <c r="AF279" s="488"/>
    </row>
    <row r="280" spans="1:32" s="152" customFormat="1" ht="11.45" customHeight="1">
      <c r="A280" s="48" t="s">
        <v>2132</v>
      </c>
      <c r="B280" s="53" t="s">
        <v>4172</v>
      </c>
      <c r="D280" s="53"/>
      <c r="E280" s="53"/>
      <c r="F280" s="53"/>
      <c r="G280" s="53"/>
      <c r="H280" s="53"/>
      <c r="I280" s="53"/>
      <c r="J280" s="53"/>
      <c r="K280" s="53"/>
      <c r="L280" s="53"/>
      <c r="M280" s="53"/>
      <c r="O280" s="484" t="s">
        <v>2132</v>
      </c>
      <c r="P280" s="2192" t="s">
        <v>3012</v>
      </c>
      <c r="Q280" s="563"/>
      <c r="AE280" s="488"/>
      <c r="AF280" s="488"/>
    </row>
    <row r="281" spans="1:32" ht="11.25" customHeight="1">
      <c r="B281" s="145" t="s">
        <v>3781</v>
      </c>
      <c r="D281" s="145"/>
      <c r="E281" s="145"/>
      <c r="F281" s="145"/>
      <c r="G281" s="145"/>
      <c r="H281" s="41"/>
      <c r="I281" s="1597"/>
      <c r="J281" s="1597"/>
      <c r="K281" s="1597"/>
      <c r="L281" s="1586"/>
      <c r="M281" s="1586"/>
      <c r="N281" s="1586"/>
      <c r="O281" s="1586"/>
      <c r="P281" s="1586"/>
      <c r="Q281" s="955"/>
    </row>
    <row r="282" spans="1:32" ht="29.25" customHeight="1">
      <c r="A282" s="3101" t="s">
        <v>4593</v>
      </c>
      <c r="B282" s="3102"/>
      <c r="C282" s="3102"/>
      <c r="D282" s="3102"/>
      <c r="E282" s="3102"/>
      <c r="F282" s="3102"/>
      <c r="G282" s="3102"/>
      <c r="H282" s="3102"/>
      <c r="I282" s="3102"/>
      <c r="J282" s="3102"/>
      <c r="K282" s="3102"/>
      <c r="L282" s="3102"/>
      <c r="M282" s="3102"/>
      <c r="N282" s="3102"/>
      <c r="O282" s="3102"/>
      <c r="P282" s="3102"/>
      <c r="Q282" s="3103"/>
      <c r="R282" s="461" t="s">
        <v>1266</v>
      </c>
      <c r="S282" s="462"/>
      <c r="U282" s="140"/>
      <c r="V282" s="140"/>
      <c r="W282" s="140"/>
      <c r="X282" s="140"/>
      <c r="Y282" s="140"/>
      <c r="Z282" s="140"/>
      <c r="AA282" s="140"/>
      <c r="AB282" s="140"/>
      <c r="AC282" s="140"/>
      <c r="AD282" s="140"/>
      <c r="AE282" s="486"/>
    </row>
    <row r="283" spans="1:32" ht="11.25" customHeight="1">
      <c r="B283" s="141" t="s">
        <v>1881</v>
      </c>
      <c r="C283" s="142"/>
      <c r="D283" s="1588"/>
      <c r="E283" s="1588"/>
      <c r="F283" s="1588"/>
      <c r="G283" s="1588"/>
      <c r="H283" s="1588"/>
      <c r="I283" s="1588"/>
      <c r="J283" s="1588"/>
      <c r="K283" s="1588"/>
      <c r="L283" s="1588"/>
      <c r="M283" s="1588"/>
      <c r="N283" s="1588"/>
      <c r="O283" s="1588"/>
      <c r="P283" s="1588"/>
      <c r="Q283" s="1588"/>
    </row>
    <row r="284" spans="1:32" ht="13.15" customHeight="1">
      <c r="A284" s="3093"/>
      <c r="B284" s="3094"/>
      <c r="C284" s="3094"/>
      <c r="D284" s="3094"/>
      <c r="E284" s="3094"/>
      <c r="F284" s="3094"/>
      <c r="G284" s="3094"/>
      <c r="H284" s="3094"/>
      <c r="I284" s="3094"/>
      <c r="J284" s="3094"/>
      <c r="K284" s="3094"/>
      <c r="L284" s="3094"/>
      <c r="M284" s="3094"/>
      <c r="N284" s="3094"/>
      <c r="O284" s="3094"/>
      <c r="P284" s="3094"/>
      <c r="Q284" s="3095"/>
    </row>
    <row r="285" spans="1:32" ht="13.9" customHeight="1">
      <c r="A285" s="1583" t="s">
        <v>4153</v>
      </c>
      <c r="B285" s="1583" t="s">
        <v>2682</v>
      </c>
      <c r="C285" s="1583"/>
      <c r="D285" s="1588"/>
      <c r="E285" s="1588"/>
      <c r="F285" s="1588"/>
      <c r="G285" s="1588"/>
      <c r="H285" s="1588"/>
      <c r="I285" s="1588"/>
      <c r="J285" s="1588"/>
      <c r="K285" s="1588"/>
      <c r="L285" s="1588"/>
      <c r="M285" s="1588"/>
      <c r="O285" s="136" t="s">
        <v>1882</v>
      </c>
      <c r="P285" s="3096"/>
      <c r="Q285" s="3124"/>
    </row>
    <row r="286" spans="1:32" ht="3" customHeight="1"/>
    <row r="287" spans="1:32" s="429" customFormat="1" ht="21.75" customHeight="1">
      <c r="A287" s="146" t="s">
        <v>2000</v>
      </c>
      <c r="B287" s="3091" t="s">
        <v>2833</v>
      </c>
      <c r="C287" s="3091"/>
      <c r="D287" s="3091"/>
      <c r="E287" s="3091"/>
      <c r="F287" s="3091"/>
      <c r="G287" s="3091"/>
      <c r="H287" s="3091"/>
      <c r="I287" s="3091"/>
      <c r="J287" s="3091"/>
      <c r="K287" s="3091"/>
      <c r="L287" s="3091"/>
      <c r="M287" s="3091"/>
      <c r="N287" s="3091"/>
      <c r="O287" s="166" t="s">
        <v>2000</v>
      </c>
      <c r="P287" s="2236" t="s">
        <v>4553</v>
      </c>
      <c r="Q287" s="1261"/>
      <c r="AE287" s="489"/>
      <c r="AF287" s="489"/>
    </row>
    <row r="288" spans="1:32" s="429" customFormat="1" ht="21.75" customHeight="1">
      <c r="A288" s="146" t="s">
        <v>2002</v>
      </c>
      <c r="B288" s="3091" t="s">
        <v>2834</v>
      </c>
      <c r="C288" s="3091"/>
      <c r="D288" s="3091"/>
      <c r="E288" s="3091"/>
      <c r="F288" s="3091"/>
      <c r="G288" s="3091"/>
      <c r="H288" s="3091"/>
      <c r="I288" s="3091"/>
      <c r="J288" s="3091"/>
      <c r="K288" s="3091"/>
      <c r="L288" s="3091"/>
      <c r="M288" s="3091"/>
      <c r="N288" s="3091"/>
      <c r="O288" s="166" t="s">
        <v>2002</v>
      </c>
      <c r="P288" s="2249" t="s">
        <v>4553</v>
      </c>
      <c r="Q288" s="1282"/>
      <c r="AE288" s="489"/>
      <c r="AF288" s="489"/>
    </row>
    <row r="289" spans="1:33" ht="11.25" customHeight="1">
      <c r="B289" s="145" t="s">
        <v>3781</v>
      </c>
      <c r="D289" s="145"/>
      <c r="E289" s="145"/>
      <c r="F289" s="145"/>
      <c r="G289" s="145"/>
      <c r="H289" s="41"/>
      <c r="I289" s="1597"/>
      <c r="J289" s="1597"/>
      <c r="K289" s="1597"/>
      <c r="L289" s="1586"/>
      <c r="M289" s="1586"/>
      <c r="N289" s="1586"/>
      <c r="O289" s="1586"/>
      <c r="P289" s="1586"/>
      <c r="Q289" s="955"/>
    </row>
    <row r="290" spans="1:33" ht="13.15" customHeight="1">
      <c r="A290" s="3101" t="s">
        <v>4592</v>
      </c>
      <c r="B290" s="3102"/>
      <c r="C290" s="3102"/>
      <c r="D290" s="3102"/>
      <c r="E290" s="3102"/>
      <c r="F290" s="3102"/>
      <c r="G290" s="3102"/>
      <c r="H290" s="3102"/>
      <c r="I290" s="3102"/>
      <c r="J290" s="3102"/>
      <c r="K290" s="3102"/>
      <c r="L290" s="3102"/>
      <c r="M290" s="3102"/>
      <c r="N290" s="3102"/>
      <c r="O290" s="3102"/>
      <c r="P290" s="3102"/>
      <c r="Q290" s="3103"/>
      <c r="R290" s="461" t="s">
        <v>1266</v>
      </c>
      <c r="S290" s="462"/>
      <c r="U290" s="140"/>
      <c r="V290" s="140"/>
      <c r="W290" s="140"/>
      <c r="X290" s="140"/>
      <c r="Y290" s="140"/>
      <c r="Z290" s="140"/>
      <c r="AA290" s="140"/>
      <c r="AB290" s="140"/>
      <c r="AC290" s="140"/>
      <c r="AD290" s="140"/>
      <c r="AE290" s="486"/>
    </row>
    <row r="291" spans="1:33" ht="11.25" customHeight="1">
      <c r="B291" s="141" t="s">
        <v>1881</v>
      </c>
      <c r="C291" s="142"/>
      <c r="D291" s="1588"/>
      <c r="E291" s="1588"/>
      <c r="F291" s="1588"/>
      <c r="G291" s="1588"/>
      <c r="H291" s="1588"/>
      <c r="I291" s="1588"/>
      <c r="J291" s="1588"/>
      <c r="K291" s="1588"/>
      <c r="L291" s="1588"/>
      <c r="M291" s="1588"/>
      <c r="N291" s="1588"/>
      <c r="O291" s="1588"/>
      <c r="P291" s="1588"/>
      <c r="Q291" s="1588"/>
    </row>
    <row r="292" spans="1:33" ht="13.15" customHeight="1">
      <c r="A292" s="3093"/>
      <c r="B292" s="3094"/>
      <c r="C292" s="3094"/>
      <c r="D292" s="3094"/>
      <c r="E292" s="3094"/>
      <c r="F292" s="3094"/>
      <c r="G292" s="3094"/>
      <c r="H292" s="3094"/>
      <c r="I292" s="3094"/>
      <c r="J292" s="3094"/>
      <c r="K292" s="3094"/>
      <c r="L292" s="3094"/>
      <c r="M292" s="3094"/>
      <c r="N292" s="3094"/>
      <c r="O292" s="3094"/>
      <c r="P292" s="3094"/>
      <c r="Q292" s="3095"/>
    </row>
    <row r="293" spans="1:33" ht="13.9" customHeight="1">
      <c r="A293" s="1583" t="s">
        <v>4154</v>
      </c>
      <c r="B293" s="1583" t="s">
        <v>2683</v>
      </c>
      <c r="C293" s="153"/>
      <c r="D293" s="1590"/>
      <c r="E293" s="1588"/>
      <c r="F293" s="1588"/>
      <c r="G293" s="1588"/>
      <c r="H293" s="1588"/>
      <c r="I293" s="1588"/>
      <c r="J293" s="1588"/>
      <c r="K293" s="1588"/>
      <c r="L293" s="1588"/>
      <c r="M293" s="1588"/>
      <c r="O293" s="136" t="s">
        <v>1882</v>
      </c>
      <c r="P293" s="3096"/>
      <c r="Q293" s="3124"/>
    </row>
    <row r="294" spans="1:33" ht="12.75" customHeight="1">
      <c r="A294" s="15" t="s">
        <v>2000</v>
      </c>
      <c r="B294" s="1583" t="s">
        <v>4173</v>
      </c>
    </row>
    <row r="295" spans="1:33" s="152" customFormat="1" ht="44.25" customHeight="1">
      <c r="A295" s="146"/>
      <c r="B295" s="154" t="s">
        <v>1750</v>
      </c>
      <c r="C295" s="3091" t="s">
        <v>3944</v>
      </c>
      <c r="D295" s="3091"/>
      <c r="E295" s="3091"/>
      <c r="F295" s="3091"/>
      <c r="G295" s="3091"/>
      <c r="H295" s="3091"/>
      <c r="I295" s="3091"/>
      <c r="J295" s="3091"/>
      <c r="K295" s="3091"/>
      <c r="L295" s="3091"/>
      <c r="M295" s="3091"/>
      <c r="N295" s="3091"/>
      <c r="O295" s="166" t="s">
        <v>2746</v>
      </c>
      <c r="P295" s="2236" t="s">
        <v>3012</v>
      </c>
      <c r="Q295" s="1261"/>
      <c r="AE295" s="488"/>
      <c r="AF295" s="488"/>
    </row>
    <row r="296" spans="1:33" s="429" customFormat="1" ht="12" customHeight="1">
      <c r="A296" s="146"/>
      <c r="B296" s="154" t="s">
        <v>1751</v>
      </c>
      <c r="C296" s="3091" t="s">
        <v>3945</v>
      </c>
      <c r="D296" s="3091"/>
      <c r="E296" s="3091"/>
      <c r="F296" s="3091"/>
      <c r="G296" s="3091"/>
      <c r="H296" s="3091"/>
      <c r="I296" s="3091"/>
      <c r="J296" s="3091"/>
      <c r="K296" s="3091"/>
      <c r="L296" s="3091"/>
      <c r="M296" s="3091"/>
      <c r="N296" s="3091"/>
      <c r="O296" s="154" t="s">
        <v>1751</v>
      </c>
      <c r="P296" s="2262" t="s">
        <v>3012</v>
      </c>
      <c r="Q296" s="564"/>
      <c r="AE296" s="489"/>
      <c r="AF296" s="489"/>
    </row>
    <row r="297" spans="1:33" s="429" customFormat="1" ht="21.75" customHeight="1">
      <c r="A297" s="146"/>
      <c r="B297" s="166" t="s">
        <v>1752</v>
      </c>
      <c r="C297" s="3091" t="s">
        <v>3943</v>
      </c>
      <c r="D297" s="3091"/>
      <c r="E297" s="3091"/>
      <c r="F297" s="3091"/>
      <c r="G297" s="3091"/>
      <c r="H297" s="3091"/>
      <c r="I297" s="3091"/>
      <c r="J297" s="3091"/>
      <c r="K297" s="3091"/>
      <c r="L297" s="3091"/>
      <c r="M297" s="3091"/>
      <c r="N297" s="3091"/>
      <c r="O297" s="166" t="s">
        <v>1752</v>
      </c>
      <c r="P297" s="2249" t="s">
        <v>3015</v>
      </c>
      <c r="Q297" s="1282"/>
      <c r="AE297" s="489"/>
      <c r="AF297" s="489"/>
    </row>
    <row r="298" spans="1:33" s="97" customFormat="1" ht="12.75" customHeight="1">
      <c r="A298" s="15" t="s">
        <v>2002</v>
      </c>
      <c r="B298" s="1583" t="s">
        <v>3909</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091" t="s">
        <v>3778</v>
      </c>
      <c r="D299" s="3091"/>
      <c r="E299" s="3091"/>
      <c r="F299" s="3091"/>
      <c r="G299" s="3091"/>
      <c r="H299" s="3091"/>
      <c r="I299" s="144"/>
      <c r="J299" s="3121" t="s">
        <v>3823</v>
      </c>
      <c r="K299" s="3122"/>
      <c r="L299" s="3122"/>
      <c r="M299" s="3123" t="s">
        <v>3791</v>
      </c>
      <c r="N299" s="3123"/>
      <c r="AE299" s="490"/>
      <c r="AF299" s="490"/>
    </row>
    <row r="300" spans="1:33" s="305" customFormat="1" ht="10.5" customHeight="1">
      <c r="A300" s="317"/>
      <c r="C300" s="3091"/>
      <c r="D300" s="3091"/>
      <c r="E300" s="3091"/>
      <c r="F300" s="3091"/>
      <c r="G300" s="3091"/>
      <c r="H300" s="3091"/>
      <c r="I300" s="1569"/>
      <c r="J300" s="3122"/>
      <c r="K300" s="3122"/>
      <c r="L300" s="3122"/>
      <c r="M300" s="37" t="s">
        <v>3792</v>
      </c>
      <c r="N300" s="1597" t="s">
        <v>3822</v>
      </c>
      <c r="P300" s="315"/>
    </row>
    <row r="301" spans="1:33" s="305" customFormat="1" ht="13.15" customHeight="1">
      <c r="A301" s="317"/>
      <c r="C301" s="3091"/>
      <c r="D301" s="3091"/>
      <c r="E301" s="3091"/>
      <c r="F301" s="3091"/>
      <c r="G301" s="3091"/>
      <c r="H301" s="3091"/>
      <c r="I301" s="53" t="s">
        <v>4174</v>
      </c>
      <c r="K301" s="2265">
        <v>5</v>
      </c>
      <c r="L301" s="1086" t="str">
        <f>IF(K301&lt;M301,"Check!!!","")</f>
        <v/>
      </c>
      <c r="M301" s="1087">
        <f>ROUNDUP('Part VI-Revenues &amp; Expenses'!$O$62*'Part VIII-Threshold Criteria'!N301,0)</f>
        <v>5</v>
      </c>
      <c r="N301" s="1092">
        <f>'DCA Underwriting Assumptions'!$Q$136</f>
        <v>0.05</v>
      </c>
      <c r="O301" s="484" t="s">
        <v>3665</v>
      </c>
      <c r="P301" s="2209" t="s">
        <v>3012</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3091" t="s">
        <v>3779</v>
      </c>
      <c r="D303" s="3091"/>
      <c r="E303" s="3091"/>
      <c r="F303" s="3091"/>
      <c r="G303" s="3091"/>
      <c r="H303" s="3091"/>
      <c r="I303" s="938" t="s">
        <v>4175</v>
      </c>
      <c r="J303" s="305"/>
      <c r="K303" s="2265">
        <v>2</v>
      </c>
      <c r="L303" s="1086" t="str">
        <f>IF(K303&lt;M303,"Check!!!","")</f>
        <v/>
      </c>
      <c r="M303" s="1087">
        <f>ROUNDUP(K301*'Part VIII-Threshold Criteria'!N303,0)</f>
        <v>2</v>
      </c>
      <c r="N303" s="1092">
        <f>'DCA Underwriting Assumptions'!$Q$137</f>
        <v>0.4</v>
      </c>
      <c r="O303" s="484" t="s">
        <v>2134</v>
      </c>
      <c r="P303" s="2209" t="s">
        <v>3012</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091"/>
      <c r="D304" s="3091"/>
      <c r="E304" s="3091"/>
      <c r="F304" s="3091"/>
      <c r="G304" s="3091"/>
      <c r="H304" s="3091"/>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091" t="s">
        <v>3780</v>
      </c>
      <c r="D305" s="3091"/>
      <c r="E305" s="3091"/>
      <c r="F305" s="3091"/>
      <c r="G305" s="3091"/>
      <c r="H305" s="3091"/>
      <c r="I305" s="53" t="s">
        <v>4176</v>
      </c>
      <c r="J305" s="305"/>
      <c r="K305" s="2265">
        <v>2</v>
      </c>
      <c r="L305" s="1086" t="str">
        <f>IF(K305&lt;M305,"Check!!!","")</f>
        <v/>
      </c>
      <c r="M305" s="1087">
        <f>ROUNDUP('Part VI-Revenues &amp; Expenses'!$O$62*'Part VIII-Threshold Criteria'!N305,0)</f>
        <v>2</v>
      </c>
      <c r="N305" s="1092">
        <f>'DCA Underwriting Assumptions'!$Q$138</f>
        <v>0.02</v>
      </c>
      <c r="O305" s="484" t="s">
        <v>1751</v>
      </c>
      <c r="P305" s="2209" t="s">
        <v>3012</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091"/>
      <c r="D306" s="3091"/>
      <c r="E306" s="3091"/>
      <c r="F306" s="3091"/>
      <c r="G306" s="3091"/>
      <c r="H306" s="3091"/>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3091"/>
      <c r="D307" s="3091"/>
      <c r="E307" s="3091"/>
      <c r="F307" s="3091"/>
      <c r="G307" s="3091"/>
      <c r="H307" s="3091"/>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3910</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3092" t="s">
        <v>3667</v>
      </c>
      <c r="C309" s="3092"/>
      <c r="D309" s="3092"/>
      <c r="E309" s="3092"/>
      <c r="F309" s="3092"/>
      <c r="G309" s="3092"/>
      <c r="H309" s="3092"/>
      <c r="I309" s="3092"/>
      <c r="J309" s="3092"/>
      <c r="K309" s="3092"/>
      <c r="L309" s="3092"/>
      <c r="M309" s="3092"/>
      <c r="N309" s="3092"/>
      <c r="O309" s="166" t="s">
        <v>757</v>
      </c>
      <c r="P309" s="2235" t="s">
        <v>3012</v>
      </c>
      <c r="Q309" s="1262"/>
      <c r="AE309" s="490"/>
      <c r="AF309" s="490"/>
    </row>
    <row r="310" spans="1:33" s="97" customFormat="1" ht="11.25" customHeight="1">
      <c r="B310" s="405" t="s">
        <v>3668</v>
      </c>
      <c r="D310" s="405"/>
      <c r="E310" s="405"/>
      <c r="F310" s="405"/>
      <c r="G310" s="405"/>
      <c r="H310" s="405"/>
      <c r="I310" s="405" t="s">
        <v>3790</v>
      </c>
      <c r="J310" s="405"/>
      <c r="K310" s="405"/>
      <c r="L310" s="3112" t="s">
        <v>4591</v>
      </c>
      <c r="M310" s="3113"/>
      <c r="N310" s="3114"/>
      <c r="O310" s="405"/>
      <c r="P310" s="405"/>
      <c r="Q310" s="405"/>
      <c r="R310" s="405"/>
      <c r="AE310" s="490"/>
      <c r="AF310" s="490"/>
    </row>
    <row r="311" spans="1:33" s="429" customFormat="1" ht="44.25" customHeight="1">
      <c r="B311" s="154" t="s">
        <v>1750</v>
      </c>
      <c r="C311" s="3091" t="s">
        <v>3666</v>
      </c>
      <c r="D311" s="3091"/>
      <c r="E311" s="3091"/>
      <c r="F311" s="3091"/>
      <c r="G311" s="3091"/>
      <c r="H311" s="3091"/>
      <c r="I311" s="3091"/>
      <c r="J311" s="3091"/>
      <c r="K311" s="3091"/>
      <c r="L311" s="3091"/>
      <c r="M311" s="3091"/>
      <c r="N311" s="3091"/>
      <c r="O311" s="166" t="s">
        <v>3671</v>
      </c>
      <c r="P311" s="2236" t="s">
        <v>3012</v>
      </c>
      <c r="Q311" s="1261"/>
      <c r="AE311" s="489"/>
      <c r="AF311" s="489"/>
    </row>
    <row r="312" spans="1:33" s="429" customFormat="1" ht="11.25" customHeight="1">
      <c r="B312" s="154" t="s">
        <v>1751</v>
      </c>
      <c r="C312" s="3091" t="s">
        <v>3711</v>
      </c>
      <c r="D312" s="3091"/>
      <c r="E312" s="3091"/>
      <c r="F312" s="3091"/>
      <c r="G312" s="3091"/>
      <c r="H312" s="3091"/>
      <c r="I312" s="3091"/>
      <c r="J312" s="3091"/>
      <c r="K312" s="3091"/>
      <c r="L312" s="3091"/>
      <c r="M312" s="3091"/>
      <c r="N312" s="3091"/>
      <c r="O312" s="166" t="s">
        <v>3672</v>
      </c>
      <c r="P312" s="2262" t="s">
        <v>3012</v>
      </c>
      <c r="Q312" s="564"/>
      <c r="AE312" s="489"/>
      <c r="AF312" s="489"/>
    </row>
    <row r="313" spans="1:33" s="429" customFormat="1" ht="34.5" customHeight="1">
      <c r="B313" s="166" t="s">
        <v>1752</v>
      </c>
      <c r="C313" s="3091" t="s">
        <v>3669</v>
      </c>
      <c r="D313" s="3091"/>
      <c r="E313" s="3091"/>
      <c r="F313" s="3091"/>
      <c r="G313" s="3091"/>
      <c r="H313" s="3091"/>
      <c r="I313" s="3091"/>
      <c r="J313" s="3091"/>
      <c r="K313" s="3091"/>
      <c r="L313" s="3091"/>
      <c r="M313" s="3091"/>
      <c r="N313" s="3091"/>
      <c r="O313" s="166" t="s">
        <v>3673</v>
      </c>
      <c r="P313" s="2262" t="s">
        <v>3012</v>
      </c>
      <c r="Q313" s="564"/>
      <c r="AE313" s="489"/>
      <c r="AF313" s="489"/>
    </row>
    <row r="314" spans="1:33" s="429" customFormat="1" ht="32.25" customHeight="1">
      <c r="B314" s="166" t="s">
        <v>2382</v>
      </c>
      <c r="C314" s="3091" t="s">
        <v>3670</v>
      </c>
      <c r="D314" s="3091"/>
      <c r="E314" s="3091"/>
      <c r="F314" s="3091"/>
      <c r="G314" s="3091"/>
      <c r="H314" s="3091"/>
      <c r="I314" s="3091"/>
      <c r="J314" s="3091"/>
      <c r="K314" s="3091"/>
      <c r="L314" s="3091"/>
      <c r="M314" s="3091"/>
      <c r="N314" s="3091"/>
      <c r="O314" s="166" t="s">
        <v>3674</v>
      </c>
      <c r="P314" s="2249" t="s">
        <v>3012</v>
      </c>
      <c r="Q314" s="1282"/>
      <c r="AE314" s="489"/>
      <c r="AF314" s="489"/>
    </row>
    <row r="315" spans="1:33" ht="11.25" customHeight="1">
      <c r="B315" s="145" t="s">
        <v>3781</v>
      </c>
      <c r="D315" s="145"/>
      <c r="E315" s="145"/>
      <c r="F315" s="145"/>
      <c r="G315" s="145"/>
      <c r="H315" s="41"/>
      <c r="I315" s="1597"/>
      <c r="J315" s="1597"/>
      <c r="K315" s="1597"/>
      <c r="L315" s="1586"/>
      <c r="M315" s="1586"/>
      <c r="N315" s="1586"/>
      <c r="O315" s="1586"/>
      <c r="P315" s="1586"/>
      <c r="Q315" s="955"/>
    </row>
    <row r="316" spans="1:33" ht="32.25" customHeight="1">
      <c r="A316" s="3101" t="s">
        <v>4719</v>
      </c>
      <c r="B316" s="3102"/>
      <c r="C316" s="3102"/>
      <c r="D316" s="3102"/>
      <c r="E316" s="3102"/>
      <c r="F316" s="3102"/>
      <c r="G316" s="3102"/>
      <c r="H316" s="3102"/>
      <c r="I316" s="3102"/>
      <c r="J316" s="3102"/>
      <c r="K316" s="3102"/>
      <c r="L316" s="3102"/>
      <c r="M316" s="3102"/>
      <c r="N316" s="3102"/>
      <c r="O316" s="3102"/>
      <c r="P316" s="3102"/>
      <c r="Q316" s="3103"/>
      <c r="R316" s="461" t="s">
        <v>1266</v>
      </c>
      <c r="S316" s="462"/>
      <c r="U316" s="140"/>
      <c r="V316" s="140"/>
      <c r="W316" s="140"/>
      <c r="X316" s="140"/>
      <c r="Y316" s="140"/>
      <c r="Z316" s="140"/>
      <c r="AA316" s="140"/>
      <c r="AB316" s="140"/>
      <c r="AC316" s="140"/>
      <c r="AD316" s="140"/>
      <c r="AE316" s="486"/>
    </row>
    <row r="317" spans="1:33" ht="11.25" customHeight="1">
      <c r="B317" s="141" t="s">
        <v>1881</v>
      </c>
      <c r="C317" s="142"/>
      <c r="D317" s="1588"/>
      <c r="E317" s="1588"/>
      <c r="F317" s="1588"/>
      <c r="G317" s="1588"/>
      <c r="H317" s="1588"/>
      <c r="I317" s="1588"/>
      <c r="J317" s="1588"/>
      <c r="K317" s="1588"/>
      <c r="L317" s="1588"/>
      <c r="M317" s="1588"/>
      <c r="N317" s="1588"/>
      <c r="O317" s="1588"/>
      <c r="P317" s="1588"/>
      <c r="Q317" s="1588"/>
    </row>
    <row r="318" spans="1:33" ht="45.75" customHeight="1">
      <c r="A318" s="3169"/>
      <c r="B318" s="3170"/>
      <c r="C318" s="3170"/>
      <c r="D318" s="3170"/>
      <c r="E318" s="3170"/>
      <c r="F318" s="3170"/>
      <c r="G318" s="3170"/>
      <c r="H318" s="3170"/>
      <c r="I318" s="3170"/>
      <c r="J318" s="3170"/>
      <c r="K318" s="3170"/>
      <c r="L318" s="3170"/>
      <c r="M318" s="3170"/>
      <c r="N318" s="3170"/>
      <c r="O318" s="3170"/>
      <c r="P318" s="3170"/>
      <c r="Q318" s="3171"/>
    </row>
    <row r="319" spans="1:33" ht="13.9" customHeight="1">
      <c r="A319" s="1583" t="s">
        <v>4152</v>
      </c>
      <c r="B319" s="10" t="s">
        <v>2684</v>
      </c>
      <c r="C319" s="10"/>
      <c r="D319" s="10"/>
      <c r="E319" s="10"/>
      <c r="F319" s="10"/>
      <c r="G319" s="10"/>
      <c r="H319" s="1588"/>
      <c r="I319" s="1588"/>
      <c r="J319" s="1588"/>
      <c r="K319" s="1588"/>
      <c r="L319" s="1588"/>
      <c r="M319" s="1588"/>
      <c r="O319" s="136" t="s">
        <v>1882</v>
      </c>
      <c r="P319" s="3172"/>
      <c r="Q319" s="3173"/>
    </row>
    <row r="320" spans="1:33" ht="11.45" customHeight="1">
      <c r="B320" s="149" t="s">
        <v>2269</v>
      </c>
      <c r="P320" s="2193" t="s">
        <v>3015</v>
      </c>
      <c r="Q320" s="561"/>
    </row>
    <row r="321" spans="1:256 1523:1523" ht="12" customHeight="1">
      <c r="B321" s="932" t="s">
        <v>2228</v>
      </c>
      <c r="C321" s="932"/>
      <c r="D321" s="932"/>
      <c r="E321" s="932"/>
      <c r="F321" s="932"/>
      <c r="G321" s="932"/>
      <c r="H321" s="932"/>
      <c r="I321" s="932"/>
      <c r="J321" s="932"/>
      <c r="K321" s="932"/>
      <c r="L321" s="932"/>
      <c r="P321" s="2192" t="s">
        <v>3012</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3091" t="s">
        <v>2901</v>
      </c>
      <c r="C323" s="3091"/>
      <c r="D323" s="3091"/>
      <c r="E323" s="3091"/>
      <c r="F323" s="3091"/>
      <c r="G323" s="3091"/>
      <c r="H323" s="3091"/>
      <c r="I323" s="3091"/>
      <c r="J323" s="3091"/>
      <c r="K323" s="3091"/>
      <c r="L323" s="3091"/>
      <c r="M323" s="3091"/>
      <c r="N323" s="3091"/>
      <c r="O323" s="166" t="s">
        <v>2000</v>
      </c>
      <c r="P323" s="2266"/>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6"/>
      <c r="Q324" s="955"/>
    </row>
    <row r="325" spans="1:256 1523:1523" ht="34.5" customHeight="1">
      <c r="B325" s="220" t="s">
        <v>1750</v>
      </c>
      <c r="C325" s="221" t="s">
        <v>1141</v>
      </c>
      <c r="E325" s="137"/>
      <c r="F325" s="137"/>
      <c r="G325" s="3164" t="s">
        <v>3947</v>
      </c>
      <c r="H325" s="3165"/>
      <c r="I325" s="3165"/>
      <c r="J325" s="3165"/>
      <c r="K325" s="3165"/>
      <c r="L325" s="3165"/>
      <c r="M325" s="3165"/>
      <c r="N325" s="3166"/>
      <c r="O325" s="224" t="s">
        <v>1750</v>
      </c>
      <c r="P325" s="2236" t="s">
        <v>3012</v>
      </c>
      <c r="Q325" s="1261"/>
      <c r="BFO325" s="152" t="s">
        <v>2747</v>
      </c>
    </row>
    <row r="326" spans="1:256 1523:1523" ht="23.25" customHeight="1">
      <c r="B326" s="220" t="s">
        <v>1751</v>
      </c>
      <c r="C326" s="3091" t="s">
        <v>1142</v>
      </c>
      <c r="D326" s="3091"/>
      <c r="E326" s="3091"/>
      <c r="F326" s="3104"/>
      <c r="G326" s="3106" t="s">
        <v>3793</v>
      </c>
      <c r="H326" s="3167"/>
      <c r="I326" s="3167"/>
      <c r="J326" s="3167"/>
      <c r="K326" s="3167"/>
      <c r="L326" s="3167"/>
      <c r="M326" s="3167"/>
      <c r="N326" s="3168"/>
      <c r="O326" s="224" t="s">
        <v>1751</v>
      </c>
      <c r="P326" s="2249" t="s">
        <v>3012</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3105" t="s">
        <v>2690</v>
      </c>
      <c r="C328" s="3105"/>
      <c r="D328" s="3105"/>
      <c r="E328" s="3105"/>
      <c r="F328" s="3105"/>
      <c r="G328" s="3105"/>
      <c r="H328" s="3105"/>
      <c r="I328" s="3105"/>
      <c r="J328" s="3105"/>
      <c r="K328" s="3105"/>
      <c r="L328" s="3105"/>
      <c r="M328" s="3105"/>
      <c r="N328" s="3105"/>
      <c r="O328" s="459" t="s">
        <v>757</v>
      </c>
      <c r="P328" s="1586"/>
      <c r="Q328" s="955"/>
      <c r="AE328" s="487"/>
      <c r="AF328" s="487"/>
    </row>
    <row r="329" spans="1:256 1523:1523" s="137" customFormat="1" ht="11.25" customHeight="1">
      <c r="A329" s="148"/>
      <c r="B329" s="220" t="s">
        <v>1750</v>
      </c>
      <c r="C329" s="3109"/>
      <c r="D329" s="3110"/>
      <c r="E329" s="3110"/>
      <c r="F329" s="3110"/>
      <c r="G329" s="3110"/>
      <c r="H329" s="3110"/>
      <c r="I329" s="3110"/>
      <c r="J329" s="3110"/>
      <c r="K329" s="3110"/>
      <c r="L329" s="3110"/>
      <c r="M329" s="3110"/>
      <c r="N329" s="3111"/>
      <c r="O329" s="224" t="s">
        <v>1750</v>
      </c>
      <c r="P329" s="2236"/>
      <c r="Q329" s="1261"/>
      <c r="AE329" s="487"/>
      <c r="AF329" s="487"/>
    </row>
    <row r="330" spans="1:256 1523:1523" s="137" customFormat="1" ht="11.25" customHeight="1">
      <c r="A330" s="148"/>
      <c r="B330" s="220" t="s">
        <v>1751</v>
      </c>
      <c r="C330" s="3106"/>
      <c r="D330" s="3107"/>
      <c r="E330" s="3107"/>
      <c r="F330" s="3107"/>
      <c r="G330" s="3107"/>
      <c r="H330" s="3107"/>
      <c r="I330" s="3107"/>
      <c r="J330" s="3107"/>
      <c r="K330" s="3107"/>
      <c r="L330" s="3107"/>
      <c r="M330" s="3107"/>
      <c r="N330" s="3108"/>
      <c r="O330" s="224" t="s">
        <v>1751</v>
      </c>
      <c r="P330" s="2249"/>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3781</v>
      </c>
      <c r="D332" s="145"/>
      <c r="E332" s="145"/>
      <c r="F332" s="145"/>
      <c r="G332" s="145"/>
      <c r="H332" s="41"/>
      <c r="I332" s="1597"/>
      <c r="J332" s="1597"/>
      <c r="K332" s="1597"/>
      <c r="L332" s="1586"/>
      <c r="M332" s="1586"/>
      <c r="N332" s="1586"/>
      <c r="O332" s="1586"/>
      <c r="P332" s="1586"/>
      <c r="Q332" s="955"/>
    </row>
    <row r="333" spans="1:256 1523:1523" ht="11.45" customHeight="1">
      <c r="A333" s="3101" t="s">
        <v>4590</v>
      </c>
      <c r="B333" s="3102"/>
      <c r="C333" s="3102"/>
      <c r="D333" s="3102"/>
      <c r="E333" s="3102"/>
      <c r="F333" s="3102"/>
      <c r="G333" s="3102"/>
      <c r="H333" s="3102"/>
      <c r="I333" s="3102"/>
      <c r="J333" s="3102"/>
      <c r="K333" s="3102"/>
      <c r="L333" s="3102"/>
      <c r="M333" s="3102"/>
      <c r="N333" s="3102"/>
      <c r="O333" s="3102"/>
      <c r="P333" s="3102"/>
      <c r="Q333" s="3103"/>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88"/>
      <c r="E334" s="1588"/>
      <c r="F334" s="1588"/>
      <c r="G334" s="1588"/>
      <c r="H334" s="1588"/>
      <c r="I334" s="1588"/>
      <c r="J334" s="1588"/>
      <c r="K334" s="1588"/>
      <c r="L334" s="1588"/>
      <c r="M334" s="1588"/>
      <c r="N334" s="1588"/>
      <c r="O334" s="1588"/>
      <c r="P334" s="1588"/>
      <c r="Q334" s="1588"/>
    </row>
    <row r="335" spans="1:256 1523:1523" ht="11.45" customHeight="1">
      <c r="A335" s="3093"/>
      <c r="B335" s="3094"/>
      <c r="C335" s="3094"/>
      <c r="D335" s="3094"/>
      <c r="E335" s="3094"/>
      <c r="F335" s="3094"/>
      <c r="G335" s="3094"/>
      <c r="H335" s="3094"/>
      <c r="I335" s="3094"/>
      <c r="J335" s="3094"/>
      <c r="K335" s="3094"/>
      <c r="L335" s="3094"/>
      <c r="M335" s="3094"/>
      <c r="N335" s="3094"/>
      <c r="O335" s="3094"/>
      <c r="P335" s="3094"/>
      <c r="Q335" s="3095"/>
    </row>
    <row r="336" spans="1:256 1523:1523" ht="13.9" customHeight="1">
      <c r="A336" s="1583" t="s">
        <v>4155</v>
      </c>
      <c r="B336" s="1583" t="s">
        <v>4194</v>
      </c>
      <c r="C336" s="1583"/>
      <c r="D336" s="1588"/>
      <c r="E336" s="1588"/>
      <c r="F336" s="1588"/>
      <c r="G336" s="1588"/>
      <c r="H336" s="1588"/>
      <c r="O336" s="136" t="s">
        <v>1882</v>
      </c>
      <c r="P336" s="3096"/>
      <c r="Q336" s="3124"/>
    </row>
    <row r="337" spans="1:31" ht="11.45" customHeight="1">
      <c r="A337" s="48" t="s">
        <v>2000</v>
      </c>
      <c r="B337" s="56" t="s">
        <v>3949</v>
      </c>
      <c r="O337" s="166" t="s">
        <v>2000</v>
      </c>
      <c r="P337" s="2209" t="s">
        <v>3012</v>
      </c>
      <c r="Q337" s="560"/>
    </row>
    <row r="338" spans="1:31" ht="11.45" customHeight="1">
      <c r="A338" s="146" t="s">
        <v>2002</v>
      </c>
      <c r="B338" s="56" t="s">
        <v>4139</v>
      </c>
      <c r="O338" s="166" t="s">
        <v>2002</v>
      </c>
      <c r="P338" s="2193" t="s">
        <v>3015</v>
      </c>
      <c r="Q338" s="561"/>
    </row>
    <row r="339" spans="1:31" ht="11.45" customHeight="1">
      <c r="A339" s="146" t="s">
        <v>757</v>
      </c>
      <c r="B339" s="149" t="s">
        <v>2367</v>
      </c>
      <c r="O339" s="166" t="s">
        <v>757</v>
      </c>
      <c r="P339" s="2196" t="s">
        <v>3015</v>
      </c>
      <c r="Q339" s="562"/>
    </row>
    <row r="340" spans="1:31" ht="11.45" customHeight="1">
      <c r="A340" s="48" t="s">
        <v>2132</v>
      </c>
      <c r="B340" s="56" t="s">
        <v>3872</v>
      </c>
      <c r="O340" s="484" t="s">
        <v>2132</v>
      </c>
      <c r="P340" s="2192" t="s">
        <v>3015</v>
      </c>
      <c r="Q340" s="563"/>
    </row>
    <row r="341" spans="1:31" ht="11.45" customHeight="1">
      <c r="A341" s="146" t="s">
        <v>1748</v>
      </c>
      <c r="B341" s="56" t="s">
        <v>2904</v>
      </c>
      <c r="N341" s="166" t="s">
        <v>1748</v>
      </c>
      <c r="O341" s="2586" t="s">
        <v>3866</v>
      </c>
      <c r="P341" s="2587"/>
      <c r="Q341" s="2588"/>
    </row>
    <row r="342" spans="1:31" ht="11.45" customHeight="1">
      <c r="A342" s="146" t="s">
        <v>1749</v>
      </c>
      <c r="B342" s="425" t="s">
        <v>2368</v>
      </c>
      <c r="N342" s="166" t="s">
        <v>1749</v>
      </c>
      <c r="O342" s="3161" t="s">
        <v>2905</v>
      </c>
      <c r="P342" s="3162"/>
      <c r="Q342" s="3163"/>
    </row>
    <row r="343" spans="1:31" ht="11.25" customHeight="1">
      <c r="B343" s="145" t="s">
        <v>3781</v>
      </c>
      <c r="D343" s="145"/>
      <c r="E343" s="145"/>
      <c r="F343" s="145"/>
      <c r="G343" s="145"/>
      <c r="H343" s="41"/>
      <c r="I343" s="1597"/>
      <c r="J343" s="1597"/>
      <c r="K343" s="1597"/>
      <c r="L343" s="1586"/>
      <c r="M343" s="1586"/>
      <c r="N343" s="1586"/>
      <c r="O343" s="1586"/>
      <c r="P343" s="1586"/>
      <c r="Q343" s="955"/>
    </row>
    <row r="344" spans="1:31" ht="29.25" customHeight="1">
      <c r="A344" s="3101" t="s">
        <v>4589</v>
      </c>
      <c r="B344" s="3102"/>
      <c r="C344" s="3102"/>
      <c r="D344" s="3102"/>
      <c r="E344" s="3102"/>
      <c r="F344" s="3102"/>
      <c r="G344" s="3102"/>
      <c r="H344" s="3102"/>
      <c r="I344" s="3102"/>
      <c r="J344" s="3102"/>
      <c r="K344" s="3102"/>
      <c r="L344" s="3102"/>
      <c r="M344" s="3102"/>
      <c r="N344" s="3102"/>
      <c r="O344" s="3102"/>
      <c r="P344" s="3102"/>
      <c r="Q344" s="3103"/>
      <c r="R344" s="461" t="s">
        <v>1266</v>
      </c>
      <c r="S344" s="462"/>
      <c r="U344" s="140"/>
      <c r="V344" s="140"/>
      <c r="W344" s="140"/>
      <c r="X344" s="140"/>
      <c r="Y344" s="140"/>
      <c r="Z344" s="140"/>
      <c r="AA344" s="140"/>
      <c r="AB344" s="140"/>
      <c r="AC344" s="140"/>
      <c r="AD344" s="140"/>
      <c r="AE344" s="486"/>
    </row>
    <row r="345" spans="1:31" ht="11.25" customHeight="1">
      <c r="B345" s="141" t="s">
        <v>1881</v>
      </c>
      <c r="C345" s="142"/>
      <c r="D345" s="1588"/>
      <c r="E345" s="1588"/>
      <c r="F345" s="1588"/>
      <c r="G345" s="1588"/>
      <c r="H345" s="1588"/>
      <c r="I345" s="1588"/>
      <c r="J345" s="1588"/>
      <c r="K345" s="1588"/>
      <c r="L345" s="1588"/>
      <c r="M345" s="1588"/>
      <c r="N345" s="1588"/>
      <c r="O345" s="1588"/>
      <c r="P345" s="1588"/>
      <c r="Q345" s="1588"/>
    </row>
    <row r="346" spans="1:31" ht="13.15" customHeight="1">
      <c r="A346" s="3093"/>
      <c r="B346" s="3094"/>
      <c r="C346" s="3094"/>
      <c r="D346" s="3094"/>
      <c r="E346" s="3094"/>
      <c r="F346" s="3094"/>
      <c r="G346" s="3094"/>
      <c r="H346" s="3094"/>
      <c r="I346" s="3094"/>
      <c r="J346" s="3094"/>
      <c r="K346" s="3094"/>
      <c r="L346" s="3094"/>
      <c r="M346" s="3094"/>
      <c r="N346" s="3094"/>
      <c r="O346" s="3094"/>
      <c r="P346" s="3094"/>
      <c r="Q346" s="3095"/>
    </row>
    <row r="347" spans="1:31" ht="13.9" customHeight="1">
      <c r="A347" s="1583" t="s">
        <v>4156</v>
      </c>
      <c r="B347" s="4" t="s">
        <v>2685</v>
      </c>
      <c r="C347" s="4"/>
      <c r="D347" s="89"/>
      <c r="E347" s="1588"/>
      <c r="F347" s="1588"/>
      <c r="G347" s="1588"/>
      <c r="H347" s="1588"/>
      <c r="I347" s="1588"/>
      <c r="J347" s="1588"/>
      <c r="K347" s="1588"/>
      <c r="L347" s="1588"/>
      <c r="M347" s="1588"/>
      <c r="O347" s="136" t="s">
        <v>1882</v>
      </c>
      <c r="P347" s="3096"/>
      <c r="Q347" s="3124"/>
    </row>
    <row r="348" spans="1:31" ht="12.75" customHeight="1">
      <c r="A348" s="146" t="s">
        <v>2000</v>
      </c>
      <c r="B348" s="144" t="s">
        <v>3683</v>
      </c>
      <c r="D348" s="144"/>
      <c r="E348" s="144"/>
      <c r="F348" s="144"/>
      <c r="G348" s="144"/>
      <c r="H348" s="144"/>
      <c r="I348" s="144"/>
      <c r="J348" s="144"/>
      <c r="K348" s="144"/>
      <c r="L348" s="144"/>
      <c r="M348" s="144"/>
      <c r="N348" s="144"/>
      <c r="O348" s="166" t="s">
        <v>2000</v>
      </c>
      <c r="P348" s="2193" t="s">
        <v>3015</v>
      </c>
      <c r="Q348" s="561"/>
    </row>
    <row r="349" spans="1:31" ht="12.75" customHeight="1">
      <c r="A349" s="146" t="s">
        <v>2002</v>
      </c>
      <c r="B349" s="144" t="s">
        <v>3881</v>
      </c>
      <c r="D349" s="144"/>
      <c r="E349" s="144"/>
      <c r="F349" s="144"/>
      <c r="G349" s="144"/>
      <c r="H349" s="144"/>
      <c r="I349" s="144"/>
      <c r="J349" s="144"/>
      <c r="K349" s="144"/>
      <c r="L349" s="144"/>
      <c r="M349" s="144"/>
      <c r="N349" s="144"/>
      <c r="O349" s="166" t="s">
        <v>2002</v>
      </c>
      <c r="P349" s="2196" t="s">
        <v>979</v>
      </c>
      <c r="Q349" s="562"/>
    </row>
    <row r="350" spans="1:31" ht="22.5" customHeight="1">
      <c r="A350" s="146" t="s">
        <v>757</v>
      </c>
      <c r="B350" s="3091" t="s">
        <v>4140</v>
      </c>
      <c r="C350" s="3091"/>
      <c r="D350" s="3091"/>
      <c r="E350" s="3091"/>
      <c r="F350" s="3091"/>
      <c r="G350" s="3091"/>
      <c r="H350" s="3091"/>
      <c r="I350" s="3091"/>
      <c r="J350" s="3091"/>
      <c r="K350" s="3091"/>
      <c r="L350" s="3091"/>
      <c r="M350" s="3091"/>
      <c r="N350" s="3091"/>
      <c r="O350" s="166" t="s">
        <v>757</v>
      </c>
      <c r="P350" s="2192" t="s">
        <v>3012</v>
      </c>
      <c r="Q350" s="563"/>
    </row>
    <row r="351" spans="1:31" ht="11.25" customHeight="1">
      <c r="B351" s="145" t="s">
        <v>3781</v>
      </c>
      <c r="D351" s="145"/>
      <c r="E351" s="145"/>
      <c r="F351" s="145"/>
      <c r="G351" s="145"/>
      <c r="H351" s="41"/>
      <c r="I351" s="1597"/>
      <c r="J351" s="1597"/>
      <c r="K351" s="1597"/>
      <c r="L351" s="1586"/>
      <c r="M351" s="1586"/>
      <c r="N351" s="1586"/>
      <c r="O351" s="1586"/>
      <c r="P351" s="1586"/>
      <c r="Q351" s="955"/>
    </row>
    <row r="352" spans="1:31" ht="11.45" customHeight="1">
      <c r="A352" s="3101" t="s">
        <v>4588</v>
      </c>
      <c r="B352" s="3102"/>
      <c r="C352" s="3102"/>
      <c r="D352" s="3102"/>
      <c r="E352" s="3102"/>
      <c r="F352" s="3102"/>
      <c r="G352" s="3102"/>
      <c r="H352" s="3102"/>
      <c r="I352" s="3102"/>
      <c r="J352" s="3102"/>
      <c r="K352" s="3102"/>
      <c r="L352" s="3102"/>
      <c r="M352" s="3102"/>
      <c r="N352" s="3102"/>
      <c r="O352" s="3102"/>
      <c r="P352" s="3102"/>
      <c r="Q352" s="3103"/>
      <c r="U352" s="140"/>
      <c r="V352" s="140"/>
      <c r="W352" s="140"/>
      <c r="X352" s="140"/>
      <c r="Y352" s="140"/>
      <c r="Z352" s="140"/>
      <c r="AA352" s="140"/>
      <c r="AB352" s="140"/>
      <c r="AC352" s="140"/>
      <c r="AD352" s="140"/>
      <c r="AE352" s="486"/>
    </row>
    <row r="353" spans="1:32" ht="11.25" customHeight="1">
      <c r="B353" s="141" t="s">
        <v>1881</v>
      </c>
      <c r="C353" s="142"/>
      <c r="D353" s="1588"/>
      <c r="E353" s="1588"/>
      <c r="F353" s="1588"/>
      <c r="G353" s="1588"/>
      <c r="H353" s="1588"/>
      <c r="I353" s="1588"/>
      <c r="J353" s="1588"/>
      <c r="K353" s="1588"/>
      <c r="L353" s="1588"/>
      <c r="M353" s="1588"/>
      <c r="N353" s="1588"/>
      <c r="O353" s="1588"/>
      <c r="P353" s="1588"/>
      <c r="Q353" s="1588"/>
    </row>
    <row r="354" spans="1:32" ht="11.45" customHeight="1">
      <c r="A354" s="3093"/>
      <c r="B354" s="3094"/>
      <c r="C354" s="3094"/>
      <c r="D354" s="3094"/>
      <c r="E354" s="3094"/>
      <c r="F354" s="3094"/>
      <c r="G354" s="3094"/>
      <c r="H354" s="3094"/>
      <c r="I354" s="3094"/>
      <c r="J354" s="3094"/>
      <c r="K354" s="3094"/>
      <c r="L354" s="3094"/>
      <c r="M354" s="3094"/>
      <c r="N354" s="3094"/>
      <c r="O354" s="3094"/>
      <c r="P354" s="3094"/>
      <c r="Q354" s="3095"/>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4159</v>
      </c>
      <c r="B356" s="4" t="s">
        <v>4126</v>
      </c>
      <c r="C356" s="4"/>
      <c r="D356" s="4"/>
      <c r="E356" s="4"/>
      <c r="F356" s="4"/>
      <c r="G356" s="4"/>
      <c r="H356" s="1588"/>
      <c r="I356" s="1588"/>
      <c r="J356" s="1588"/>
      <c r="K356" s="1588"/>
      <c r="L356" s="1588"/>
      <c r="M356" s="1588"/>
      <c r="O356" s="136" t="s">
        <v>1882</v>
      </c>
      <c r="P356" s="3156"/>
      <c r="Q356" s="3124"/>
    </row>
    <row r="357" spans="1:32" ht="10.5" customHeight="1">
      <c r="A357" s="48" t="s">
        <v>2000</v>
      </c>
      <c r="B357" s="139" t="s">
        <v>4127</v>
      </c>
      <c r="D357" s="155"/>
      <c r="E357" s="155"/>
      <c r="F357" s="155"/>
      <c r="G357" s="155"/>
      <c r="H357" s="484" t="s">
        <v>2000</v>
      </c>
      <c r="I357" s="3125"/>
      <c r="J357" s="3126"/>
      <c r="K357" s="3126"/>
      <c r="L357" s="3126"/>
      <c r="M357" s="3126"/>
      <c r="N357" s="3126"/>
      <c r="O357" s="3126"/>
      <c r="P357" s="3127"/>
      <c r="Q357" s="559"/>
    </row>
    <row r="358" spans="1:32" ht="10.5" customHeight="1">
      <c r="A358" s="146" t="s">
        <v>2002</v>
      </c>
      <c r="B358" s="139" t="s">
        <v>4128</v>
      </c>
      <c r="D358" s="155"/>
      <c r="E358" s="155"/>
      <c r="F358" s="155"/>
      <c r="G358" s="155"/>
      <c r="H358" s="166" t="s">
        <v>2002</v>
      </c>
      <c r="I358" s="3125"/>
      <c r="J358" s="3126"/>
      <c r="K358" s="3126"/>
      <c r="L358" s="3126"/>
      <c r="M358" s="3126"/>
      <c r="N358" s="3126"/>
      <c r="O358" s="3126"/>
      <c r="P358" s="3127"/>
      <c r="Q358" s="559"/>
    </row>
    <row r="359" spans="1:32" ht="21.75" customHeight="1">
      <c r="A359" s="146" t="s">
        <v>757</v>
      </c>
      <c r="B359" s="3158" t="s">
        <v>4118</v>
      </c>
      <c r="C359" s="3158"/>
      <c r="D359" s="3158"/>
      <c r="E359" s="3158"/>
      <c r="F359" s="3158"/>
      <c r="G359" s="3158"/>
      <c r="H359" s="3158"/>
      <c r="I359" s="3158"/>
      <c r="J359" s="3158"/>
      <c r="K359" s="3158"/>
      <c r="L359" s="3158"/>
      <c r="M359" s="3158"/>
      <c r="N359" s="3158"/>
      <c r="O359" s="166" t="s">
        <v>757</v>
      </c>
      <c r="P359" s="2253"/>
      <c r="Q359" s="1261"/>
    </row>
    <row r="360" spans="1:32" ht="21.75" customHeight="1">
      <c r="A360" s="146" t="s">
        <v>2132</v>
      </c>
      <c r="B360" s="3091" t="s">
        <v>4119</v>
      </c>
      <c r="C360" s="3091"/>
      <c r="D360" s="3091"/>
      <c r="E360" s="3091"/>
      <c r="F360" s="3091"/>
      <c r="G360" s="3091"/>
      <c r="H360" s="3091"/>
      <c r="I360" s="3091"/>
      <c r="J360" s="3091"/>
      <c r="K360" s="3091"/>
      <c r="L360" s="3091"/>
      <c r="M360" s="3091"/>
      <c r="N360" s="3091"/>
      <c r="O360" s="484" t="s">
        <v>2132</v>
      </c>
      <c r="P360" s="2262"/>
      <c r="Q360" s="564"/>
    </row>
    <row r="361" spans="1:32" ht="10.5" customHeight="1">
      <c r="A361" s="146" t="s">
        <v>1748</v>
      </c>
      <c r="B361" s="53" t="s">
        <v>4120</v>
      </c>
      <c r="D361" s="53"/>
      <c r="E361" s="53"/>
      <c r="F361" s="53"/>
      <c r="G361" s="53"/>
      <c r="H361" s="53"/>
      <c r="I361" s="53"/>
      <c r="J361" s="53"/>
      <c r="K361" s="53"/>
      <c r="L361" s="53"/>
      <c r="M361" s="53"/>
      <c r="O361" s="166" t="s">
        <v>1748</v>
      </c>
      <c r="P361" s="2196"/>
      <c r="Q361" s="562"/>
    </row>
    <row r="362" spans="1:32" s="137" customFormat="1" ht="21.75" customHeight="1">
      <c r="A362" s="146" t="s">
        <v>1749</v>
      </c>
      <c r="B362" s="3091" t="s">
        <v>4121</v>
      </c>
      <c r="C362" s="3091"/>
      <c r="D362" s="3091"/>
      <c r="E362" s="3091"/>
      <c r="F362" s="3091"/>
      <c r="G362" s="3091"/>
      <c r="H362" s="3091"/>
      <c r="I362" s="3091"/>
      <c r="J362" s="3091"/>
      <c r="K362" s="3091"/>
      <c r="L362" s="3091"/>
      <c r="M362" s="3091"/>
      <c r="N362" s="3091"/>
      <c r="O362" s="166" t="s">
        <v>1749</v>
      </c>
      <c r="P362" s="2267"/>
      <c r="Q362" s="933"/>
      <c r="AE362" s="487"/>
      <c r="AF362" s="487"/>
    </row>
    <row r="363" spans="1:32" s="137" customFormat="1" ht="10.5" customHeight="1">
      <c r="A363" s="146" t="s">
        <v>1963</v>
      </c>
      <c r="B363" s="144" t="s">
        <v>4122</v>
      </c>
      <c r="D363" s="957"/>
      <c r="E363" s="957"/>
      <c r="F363" s="957"/>
      <c r="G363" s="957"/>
      <c r="H363" s="957"/>
      <c r="I363" s="957"/>
      <c r="J363" s="957"/>
      <c r="K363" s="957"/>
      <c r="L363" s="957"/>
      <c r="M363" s="957"/>
      <c r="N363" s="957"/>
      <c r="O363" s="166" t="s">
        <v>1963</v>
      </c>
      <c r="P363" s="2236"/>
      <c r="Q363" s="1261"/>
      <c r="AE363" s="487"/>
      <c r="AF363" s="487"/>
    </row>
    <row r="364" spans="1:32" s="137" customFormat="1" ht="10.5" customHeight="1">
      <c r="C364" s="932" t="s">
        <v>3861</v>
      </c>
      <c r="E364" s="1588"/>
      <c r="F364" s="1588"/>
      <c r="G364" s="1588"/>
      <c r="H364" s="1588"/>
      <c r="I364" s="1588"/>
      <c r="J364" s="1588"/>
      <c r="K364" s="1588"/>
      <c r="L364" s="1588"/>
      <c r="M364" s="1588"/>
      <c r="N364" s="1588"/>
      <c r="P364" s="2249"/>
      <c r="Q364" s="1282"/>
      <c r="AE364" s="487"/>
      <c r="AF364" s="487"/>
    </row>
    <row r="365" spans="1:32" ht="21.75" customHeight="1">
      <c r="A365" s="146" t="s">
        <v>3393</v>
      </c>
      <c r="B365" s="3091" t="s">
        <v>4123</v>
      </c>
      <c r="C365" s="3091"/>
      <c r="D365" s="3091"/>
      <c r="E365" s="3091"/>
      <c r="F365" s="3091"/>
      <c r="G365" s="3091"/>
      <c r="H365" s="3091"/>
      <c r="I365" s="3091"/>
      <c r="J365" s="3091"/>
      <c r="K365" s="3091"/>
      <c r="L365" s="3091"/>
      <c r="M365" s="3091"/>
      <c r="N365" s="3091"/>
      <c r="O365" s="166" t="s">
        <v>3393</v>
      </c>
      <c r="P365" s="2236"/>
      <c r="Q365" s="1261"/>
    </row>
    <row r="366" spans="1:32" ht="33" customHeight="1">
      <c r="A366" s="146" t="s">
        <v>622</v>
      </c>
      <c r="B366" s="3091" t="s">
        <v>4124</v>
      </c>
      <c r="C366" s="3091"/>
      <c r="D366" s="3091"/>
      <c r="E366" s="3091"/>
      <c r="F366" s="3091"/>
      <c r="G366" s="3091"/>
      <c r="H366" s="3091"/>
      <c r="I366" s="3091"/>
      <c r="J366" s="3091"/>
      <c r="K366" s="3091"/>
      <c r="L366" s="3091"/>
      <c r="M366" s="3091"/>
      <c r="N366" s="3091"/>
      <c r="O366" s="166" t="s">
        <v>622</v>
      </c>
      <c r="P366" s="2249"/>
      <c r="Q366" s="1282"/>
    </row>
    <row r="367" spans="1:32" ht="10.5" customHeight="1">
      <c r="B367" s="145" t="s">
        <v>3781</v>
      </c>
      <c r="D367" s="145"/>
      <c r="E367" s="145"/>
      <c r="F367" s="145"/>
      <c r="G367" s="145"/>
      <c r="H367" s="41"/>
      <c r="I367" s="1597"/>
      <c r="J367" s="1597"/>
      <c r="K367" s="1597"/>
      <c r="L367" s="1586"/>
      <c r="M367" s="1586"/>
      <c r="N367" s="1586"/>
      <c r="O367" s="1586"/>
      <c r="P367" s="1586"/>
      <c r="Q367" s="955"/>
    </row>
    <row r="368" spans="1:32" ht="31.5" customHeight="1">
      <c r="A368" s="3101" t="s">
        <v>4587</v>
      </c>
      <c r="B368" s="3102"/>
      <c r="C368" s="3102"/>
      <c r="D368" s="3102"/>
      <c r="E368" s="3102"/>
      <c r="F368" s="3102"/>
      <c r="G368" s="3102"/>
      <c r="H368" s="3102"/>
      <c r="I368" s="3102"/>
      <c r="J368" s="3102"/>
      <c r="K368" s="3102"/>
      <c r="L368" s="3102"/>
      <c r="M368" s="3102"/>
      <c r="N368" s="3102"/>
      <c r="O368" s="3102"/>
      <c r="P368" s="3102"/>
      <c r="Q368" s="3103"/>
      <c r="U368" s="140"/>
      <c r="V368" s="140"/>
      <c r="W368" s="140"/>
      <c r="X368" s="140"/>
      <c r="Y368" s="140"/>
      <c r="Z368" s="140"/>
      <c r="AA368" s="140"/>
      <c r="AB368" s="140"/>
      <c r="AC368" s="140"/>
      <c r="AD368" s="140"/>
      <c r="AE368" s="486"/>
    </row>
    <row r="369" spans="1:32" ht="10.5" customHeight="1">
      <c r="B369" s="141" t="s">
        <v>1881</v>
      </c>
      <c r="C369" s="142"/>
      <c r="D369" s="1588"/>
      <c r="E369" s="1588"/>
      <c r="F369" s="1588"/>
      <c r="G369" s="1588"/>
      <c r="H369" s="1588"/>
      <c r="I369" s="1588"/>
      <c r="J369" s="1588"/>
      <c r="K369" s="1588"/>
      <c r="L369" s="1588"/>
      <c r="M369" s="1588"/>
      <c r="N369" s="1588"/>
      <c r="O369" s="1588"/>
      <c r="P369" s="1588"/>
      <c r="Q369" s="1588"/>
    </row>
    <row r="370" spans="1:32" ht="31.5" customHeight="1">
      <c r="A370" s="3093"/>
      <c r="B370" s="3094"/>
      <c r="C370" s="3094"/>
      <c r="D370" s="3094"/>
      <c r="E370" s="3094"/>
      <c r="F370" s="3094"/>
      <c r="G370" s="3094"/>
      <c r="H370" s="3094"/>
      <c r="I370" s="3094"/>
      <c r="J370" s="3094"/>
      <c r="K370" s="3094"/>
      <c r="L370" s="3094"/>
      <c r="M370" s="3094"/>
      <c r="N370" s="3094"/>
      <c r="O370" s="3094"/>
      <c r="P370" s="3094"/>
      <c r="Q370" s="3095"/>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4160</v>
      </c>
      <c r="B372" s="4" t="s">
        <v>3950</v>
      </c>
      <c r="C372" s="4"/>
      <c r="D372" s="4"/>
      <c r="E372" s="4"/>
      <c r="F372" s="4"/>
      <c r="G372" s="4"/>
      <c r="H372" s="1588"/>
      <c r="I372" s="1588"/>
      <c r="J372" s="1588"/>
      <c r="O372" s="136" t="s">
        <v>1882</v>
      </c>
      <c r="P372" s="3096"/>
      <c r="Q372" s="3124"/>
    </row>
    <row r="373" spans="1:32" s="43" customFormat="1" ht="10.5" customHeight="1">
      <c r="A373" s="48" t="s">
        <v>2000</v>
      </c>
      <c r="B373" s="656" t="s">
        <v>3952</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159" t="s">
        <v>4177</v>
      </c>
      <c r="D374" s="3159"/>
      <c r="E374" s="3159"/>
      <c r="F374" s="3160"/>
      <c r="G374" s="3125"/>
      <c r="H374" s="3126"/>
      <c r="I374" s="3127"/>
      <c r="J374" s="1597" t="s">
        <v>3959</v>
      </c>
      <c r="K374" s="3125"/>
      <c r="L374" s="3126"/>
      <c r="M374" s="3127"/>
      <c r="N374" s="3137" t="s">
        <v>3951</v>
      </c>
      <c r="O374" s="3138"/>
      <c r="P374" s="3139"/>
      <c r="Q374" s="3140"/>
      <c r="AE374" s="51"/>
      <c r="AF374" s="51"/>
    </row>
    <row r="375" spans="1:32" s="43" customFormat="1" ht="10.5" customHeight="1">
      <c r="B375" s="37" t="s">
        <v>1751</v>
      </c>
      <c r="C375" s="53" t="s">
        <v>3953</v>
      </c>
      <c r="I375" s="484" t="s">
        <v>1751</v>
      </c>
      <c r="J375" s="3143"/>
      <c r="K375" s="3144"/>
      <c r="AE375" s="51"/>
      <c r="AF375" s="51"/>
    </row>
    <row r="376" spans="1:32" s="43" customFormat="1" ht="10.5" customHeight="1">
      <c r="A376" s="48"/>
      <c r="B376" s="37" t="s">
        <v>1752</v>
      </c>
      <c r="C376" s="53" t="s">
        <v>3954</v>
      </c>
      <c r="D376" s="47"/>
      <c r="E376" s="138"/>
      <c r="F376" s="3147" t="str">
        <f>'Part I-Project Information'!K40</f>
        <v>Urban</v>
      </c>
      <c r="G376" s="3148"/>
      <c r="H376" s="1594" t="s">
        <v>3955</v>
      </c>
      <c r="I376" s="138"/>
      <c r="J376" s="138"/>
      <c r="K376" s="138"/>
      <c r="L376" s="138"/>
      <c r="M376" s="138"/>
      <c r="N376" s="138"/>
      <c r="O376" s="484" t="s">
        <v>1752</v>
      </c>
      <c r="P376" s="2193"/>
      <c r="Q376" s="561"/>
      <c r="AE376" s="51"/>
      <c r="AF376" s="51"/>
    </row>
    <row r="377" spans="1:32" s="43" customFormat="1" ht="10.5" customHeight="1">
      <c r="A377" s="48"/>
      <c r="B377" s="37" t="s">
        <v>2382</v>
      </c>
      <c r="C377" s="53" t="s">
        <v>3956</v>
      </c>
      <c r="E377" s="138"/>
      <c r="F377" s="138"/>
      <c r="G377" s="138"/>
      <c r="H377" s="138"/>
      <c r="I377" s="138"/>
      <c r="J377" s="3141"/>
      <c r="K377" s="3142"/>
      <c r="L377" s="3149"/>
      <c r="M377" s="3150"/>
      <c r="N377" s="53" t="s">
        <v>3966</v>
      </c>
      <c r="O377" s="484"/>
      <c r="P377" s="2196"/>
      <c r="Q377" s="562"/>
      <c r="AE377" s="51"/>
      <c r="AF377" s="51"/>
    </row>
    <row r="378" spans="1:32" s="43" customFormat="1" ht="10.5" customHeight="1">
      <c r="A378" s="48"/>
      <c r="B378" s="37" t="s">
        <v>1561</v>
      </c>
      <c r="C378" s="53" t="s">
        <v>3957</v>
      </c>
      <c r="E378" s="53"/>
      <c r="F378" s="3145">
        <f>'Part IV-A-Uses of Funds'!J173</f>
        <v>923320</v>
      </c>
      <c r="G378" s="3146"/>
      <c r="H378" s="53" t="s">
        <v>3958</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3960</v>
      </c>
      <c r="E379" s="53"/>
      <c r="F379" s="53"/>
      <c r="G379" s="53"/>
      <c r="H379" s="53" t="s">
        <v>3619</v>
      </c>
      <c r="I379" s="53"/>
      <c r="J379" s="3141"/>
      <c r="K379" s="3142"/>
      <c r="L379" s="53" t="s">
        <v>3961</v>
      </c>
      <c r="M379" s="3149"/>
      <c r="N379" s="3150"/>
      <c r="AE379" s="51"/>
      <c r="AF379" s="51"/>
    </row>
    <row r="380" spans="1:32" s="43" customFormat="1" ht="10.5" customHeight="1">
      <c r="B380" s="37" t="s">
        <v>99</v>
      </c>
      <c r="C380" s="53" t="s">
        <v>3962</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3963</v>
      </c>
      <c r="D382" s="138"/>
      <c r="E382" s="138"/>
      <c r="F382" s="138"/>
      <c r="G382" s="138"/>
      <c r="H382" s="138"/>
      <c r="J382" s="3157" t="s">
        <v>3968</v>
      </c>
      <c r="K382" s="3157"/>
      <c r="L382" s="3157"/>
      <c r="M382" s="3157"/>
      <c r="N382" s="3155" t="s">
        <v>3965</v>
      </c>
      <c r="O382" s="3155"/>
      <c r="P382" s="138"/>
      <c r="Q382" s="138"/>
      <c r="R382" s="138"/>
      <c r="AE382" s="51"/>
      <c r="AF382" s="51"/>
    </row>
    <row r="383" spans="1:32" s="43" customFormat="1" ht="10.5" customHeight="1">
      <c r="B383" s="37" t="s">
        <v>1750</v>
      </c>
      <c r="C383" s="956" t="s">
        <v>3964</v>
      </c>
      <c r="E383" s="1594"/>
      <c r="F383" s="1594"/>
      <c r="G383" s="1594"/>
      <c r="H383" s="1594"/>
      <c r="J383" s="3151"/>
      <c r="K383" s="3152"/>
      <c r="L383" s="3153"/>
      <c r="M383" s="3154"/>
      <c r="N383" s="1208" t="str">
        <f>IF(J383="","",J377/J383)</f>
        <v/>
      </c>
      <c r="O383" s="1209" t="str">
        <f>IF(L383="","",L377/L383)</f>
        <v/>
      </c>
      <c r="P383" s="2193"/>
      <c r="Q383" s="561"/>
      <c r="AE383" s="51"/>
      <c r="AF383" s="51"/>
    </row>
    <row r="384" spans="1:32" s="43" customFormat="1" ht="10.5" customHeight="1">
      <c r="B384" s="37" t="s">
        <v>1751</v>
      </c>
      <c r="C384" s="53" t="s">
        <v>3967</v>
      </c>
      <c r="E384" s="138"/>
      <c r="F384" s="138"/>
      <c r="G384" s="138"/>
      <c r="H384" s="138"/>
      <c r="N384" s="138"/>
      <c r="O384" s="484" t="s">
        <v>1751</v>
      </c>
      <c r="P384" s="2268"/>
      <c r="Q384" s="1454"/>
      <c r="AE384" s="51"/>
      <c r="AF384" s="51"/>
    </row>
    <row r="385" spans="1:32" s="43" customFormat="1" ht="10.5" customHeight="1">
      <c r="B385" s="37" t="s">
        <v>1752</v>
      </c>
      <c r="C385" s="53" t="s">
        <v>3969</v>
      </c>
      <c r="E385" s="138"/>
      <c r="F385" s="138"/>
      <c r="G385" s="138"/>
      <c r="H385" s="138"/>
      <c r="M385" s="138"/>
      <c r="N385" s="138"/>
      <c r="O385" s="484" t="s">
        <v>1752</v>
      </c>
      <c r="P385" s="2192"/>
      <c r="Q385" s="563"/>
      <c r="AE385" s="51"/>
      <c r="AF385" s="51"/>
    </row>
    <row r="386" spans="1:32" ht="10.5" customHeight="1">
      <c r="B386" s="145" t="s">
        <v>3781</v>
      </c>
      <c r="D386" s="145"/>
      <c r="E386" s="145"/>
      <c r="F386" s="145"/>
      <c r="G386" s="145"/>
      <c r="H386" s="41"/>
      <c r="I386" s="1597"/>
      <c r="J386" s="1597"/>
      <c r="K386" s="1597"/>
      <c r="L386" s="1586"/>
      <c r="M386" s="1586"/>
      <c r="N386" s="1586"/>
      <c r="O386" s="1586"/>
      <c r="P386" s="1586"/>
      <c r="Q386" s="955"/>
    </row>
    <row r="387" spans="1:32" ht="31.5" customHeight="1">
      <c r="A387" s="3101" t="s">
        <v>4586</v>
      </c>
      <c r="B387" s="3102"/>
      <c r="C387" s="3102"/>
      <c r="D387" s="3102"/>
      <c r="E387" s="3102"/>
      <c r="F387" s="3102"/>
      <c r="G387" s="3102"/>
      <c r="H387" s="3102"/>
      <c r="I387" s="3102"/>
      <c r="J387" s="3102"/>
      <c r="K387" s="3102"/>
      <c r="L387" s="3102"/>
      <c r="M387" s="3102"/>
      <c r="N387" s="3102"/>
      <c r="O387" s="3102"/>
      <c r="P387" s="3102"/>
      <c r="Q387" s="3103"/>
      <c r="U387" s="140"/>
      <c r="V387" s="140"/>
      <c r="W387" s="140"/>
      <c r="X387" s="140"/>
      <c r="Y387" s="140"/>
      <c r="Z387" s="140"/>
      <c r="AA387" s="140"/>
      <c r="AB387" s="140"/>
      <c r="AC387" s="140"/>
      <c r="AD387" s="140"/>
      <c r="AE387" s="486"/>
    </row>
    <row r="388" spans="1:32" ht="11.25" customHeight="1">
      <c r="B388" s="141" t="s">
        <v>1881</v>
      </c>
      <c r="C388" s="142"/>
      <c r="D388" s="1588"/>
      <c r="E388" s="1588"/>
      <c r="F388" s="1588"/>
      <c r="G388" s="1588"/>
      <c r="H388" s="1588"/>
      <c r="I388" s="1588"/>
      <c r="J388" s="1588"/>
      <c r="K388" s="1588"/>
      <c r="L388" s="1588"/>
      <c r="M388" s="1588"/>
      <c r="N388" s="1588"/>
      <c r="O388" s="1588"/>
      <c r="P388" s="1588"/>
      <c r="Q388" s="1588"/>
    </row>
    <row r="389" spans="1:32" ht="31.5" customHeight="1">
      <c r="A389" s="3093"/>
      <c r="B389" s="3094"/>
      <c r="C389" s="3094"/>
      <c r="D389" s="3094"/>
      <c r="E389" s="3094"/>
      <c r="F389" s="3094"/>
      <c r="G389" s="3094"/>
      <c r="H389" s="3094"/>
      <c r="I389" s="3094"/>
      <c r="J389" s="3094"/>
      <c r="K389" s="3094"/>
      <c r="L389" s="3094"/>
      <c r="M389" s="3094"/>
      <c r="N389" s="3094"/>
      <c r="O389" s="3094"/>
      <c r="P389" s="3094"/>
      <c r="Q389" s="3095"/>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4161</v>
      </c>
      <c r="B392" s="4" t="s">
        <v>2702</v>
      </c>
      <c r="C392" s="4"/>
      <c r="D392" s="4"/>
      <c r="E392" s="4"/>
      <c r="F392" s="4"/>
      <c r="G392" s="4"/>
      <c r="H392" s="1588"/>
      <c r="I392" s="1588"/>
      <c r="J392" s="1588"/>
      <c r="O392" s="136" t="s">
        <v>1882</v>
      </c>
      <c r="P392" s="3096"/>
      <c r="Q392" s="3124"/>
    </row>
    <row r="393" spans="1:32" ht="11.45" customHeight="1">
      <c r="A393" s="48" t="s">
        <v>2000</v>
      </c>
      <c r="B393" s="121" t="s">
        <v>1044</v>
      </c>
      <c r="E393" s="3266"/>
      <c r="F393" s="3267"/>
      <c r="G393" s="3267"/>
      <c r="H393" s="3267"/>
      <c r="I393" s="3268"/>
      <c r="J393" s="3137" t="s">
        <v>2689</v>
      </c>
      <c r="K393" s="3269"/>
      <c r="L393" s="3138"/>
      <c r="M393" s="3266"/>
      <c r="N393" s="3267"/>
      <c r="O393" s="3267"/>
      <c r="P393" s="3267"/>
      <c r="Q393" s="3268"/>
    </row>
    <row r="394" spans="1:32" ht="11.45" customHeight="1">
      <c r="A394" s="48" t="s">
        <v>2002</v>
      </c>
      <c r="B394" s="53" t="s">
        <v>3488</v>
      </c>
      <c r="D394" s="53"/>
      <c r="E394" s="53"/>
      <c r="F394" s="53"/>
      <c r="G394" s="53"/>
      <c r="H394" s="53"/>
      <c r="I394" s="53"/>
      <c r="J394" s="53"/>
      <c r="K394" s="53"/>
      <c r="L394" s="956"/>
      <c r="M394" s="956"/>
      <c r="O394" s="484" t="s">
        <v>2002</v>
      </c>
      <c r="P394" s="2193"/>
      <c r="Q394" s="561"/>
    </row>
    <row r="395" spans="1:32" ht="22.5" customHeight="1">
      <c r="A395" s="146" t="s">
        <v>757</v>
      </c>
      <c r="B395" s="3091" t="s">
        <v>3498</v>
      </c>
      <c r="C395" s="3091"/>
      <c r="D395" s="3091"/>
      <c r="E395" s="3091"/>
      <c r="F395" s="3091"/>
      <c r="G395" s="3091"/>
      <c r="H395" s="3091"/>
      <c r="I395" s="3091"/>
      <c r="J395" s="3091"/>
      <c r="K395" s="3091"/>
      <c r="L395" s="3091"/>
      <c r="M395" s="3091"/>
      <c r="N395" s="3091"/>
      <c r="O395" s="166" t="s">
        <v>757</v>
      </c>
      <c r="P395" s="2262"/>
      <c r="Q395" s="564"/>
    </row>
    <row r="396" spans="1:32">
      <c r="A396" s="48" t="s">
        <v>2132</v>
      </c>
      <c r="B396" s="56" t="s">
        <v>3726</v>
      </c>
      <c r="G396" s="1594"/>
      <c r="H396" s="1594"/>
      <c r="I396" s="1594"/>
      <c r="J396" s="956" t="s">
        <v>3727</v>
      </c>
      <c r="L396" s="1594"/>
      <c r="M396" s="3270">
        <f>'Part III-Sources of Funds'!E11</f>
        <v>0</v>
      </c>
      <c r="N396" s="3271"/>
      <c r="O396" s="484" t="s">
        <v>2132</v>
      </c>
      <c r="P396" s="2192"/>
      <c r="Q396" s="563"/>
    </row>
    <row r="397" spans="1:32" ht="11.25" customHeight="1">
      <c r="B397" s="145" t="s">
        <v>3781</v>
      </c>
      <c r="D397" s="145"/>
      <c r="E397" s="145"/>
      <c r="F397" s="145"/>
      <c r="G397" s="145"/>
      <c r="H397" s="41"/>
      <c r="I397" s="1597"/>
      <c r="J397" s="1597"/>
      <c r="K397" s="1597"/>
      <c r="L397" s="1586"/>
      <c r="M397" s="1586"/>
      <c r="N397" s="1586"/>
      <c r="O397" s="1586"/>
      <c r="P397" s="1586"/>
      <c r="Q397" s="955"/>
    </row>
    <row r="398" spans="1:32" ht="11.45" customHeight="1">
      <c r="A398" s="3101" t="s">
        <v>4585</v>
      </c>
      <c r="B398" s="3102"/>
      <c r="C398" s="3102"/>
      <c r="D398" s="3102"/>
      <c r="E398" s="3102"/>
      <c r="F398" s="3102"/>
      <c r="G398" s="3102"/>
      <c r="H398" s="3102"/>
      <c r="I398" s="3102"/>
      <c r="J398" s="3102"/>
      <c r="K398" s="3102"/>
      <c r="L398" s="3102"/>
      <c r="M398" s="3102"/>
      <c r="N398" s="3102"/>
      <c r="O398" s="3102"/>
      <c r="P398" s="3102"/>
      <c r="Q398" s="3103"/>
      <c r="U398" s="140"/>
      <c r="V398" s="140"/>
      <c r="W398" s="140"/>
      <c r="X398" s="140"/>
      <c r="Y398" s="140"/>
      <c r="Z398" s="140"/>
      <c r="AA398" s="140"/>
      <c r="AB398" s="140"/>
      <c r="AC398" s="140"/>
      <c r="AD398" s="140"/>
      <c r="AE398" s="486"/>
    </row>
    <row r="399" spans="1:32" ht="11.25" customHeight="1">
      <c r="B399" s="141" t="s">
        <v>1881</v>
      </c>
      <c r="C399" s="142"/>
      <c r="D399" s="1588"/>
      <c r="E399" s="1588"/>
      <c r="F399" s="1588"/>
      <c r="G399" s="1588"/>
      <c r="H399" s="1588"/>
      <c r="I399" s="1588"/>
      <c r="J399" s="1588"/>
      <c r="K399" s="1588"/>
      <c r="L399" s="1588"/>
      <c r="M399" s="1588"/>
      <c r="N399" s="1588"/>
      <c r="O399" s="1588"/>
      <c r="P399" s="1588"/>
      <c r="Q399" s="1588"/>
    </row>
    <row r="400" spans="1:32" ht="11.45" customHeight="1">
      <c r="A400" s="3093"/>
      <c r="B400" s="3094"/>
      <c r="C400" s="3094"/>
      <c r="D400" s="3094"/>
      <c r="E400" s="3094"/>
      <c r="F400" s="3094"/>
      <c r="G400" s="3094"/>
      <c r="H400" s="3094"/>
      <c r="I400" s="3094"/>
      <c r="J400" s="3094"/>
      <c r="K400" s="3094"/>
      <c r="L400" s="3094"/>
      <c r="M400" s="3094"/>
      <c r="N400" s="3094"/>
      <c r="O400" s="3094"/>
      <c r="P400" s="3094"/>
      <c r="Q400" s="3095"/>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4162</v>
      </c>
      <c r="B402" s="4" t="s">
        <v>2686</v>
      </c>
      <c r="C402" s="4"/>
      <c r="D402" s="4"/>
      <c r="E402" s="1588"/>
      <c r="G402" s="144" t="s">
        <v>708</v>
      </c>
      <c r="H402" s="1588"/>
      <c r="I402" s="1588"/>
      <c r="J402" s="1588"/>
      <c r="K402" s="1588"/>
      <c r="L402" s="1588"/>
      <c r="M402" s="1588"/>
      <c r="O402" s="136" t="s">
        <v>1882</v>
      </c>
      <c r="P402" s="3096"/>
      <c r="Q402" s="3097"/>
    </row>
    <row r="403" spans="1:31" ht="12" customHeight="1">
      <c r="A403" s="48" t="s">
        <v>2000</v>
      </c>
      <c r="B403" s="53" t="s">
        <v>2691</v>
      </c>
      <c r="D403" s="957"/>
      <c r="E403" s="957"/>
      <c r="H403" s="144"/>
      <c r="O403" s="484" t="s">
        <v>2000</v>
      </c>
      <c r="P403" s="2193"/>
      <c r="Q403" s="561"/>
    </row>
    <row r="404" spans="1:31" ht="12" customHeight="1">
      <c r="A404" s="48" t="s">
        <v>2002</v>
      </c>
      <c r="B404" s="53" t="s">
        <v>3609</v>
      </c>
      <c r="D404" s="957"/>
      <c r="E404" s="957"/>
      <c r="O404" s="484" t="s">
        <v>2002</v>
      </c>
      <c r="P404" s="2196"/>
      <c r="Q404" s="562"/>
    </row>
    <row r="405" spans="1:31" ht="12" customHeight="1">
      <c r="A405" s="48" t="s">
        <v>757</v>
      </c>
      <c r="B405" s="53" t="s">
        <v>4125</v>
      </c>
      <c r="D405" s="957"/>
      <c r="E405" s="957"/>
      <c r="O405" s="484" t="s">
        <v>757</v>
      </c>
      <c r="P405" s="2196"/>
      <c r="Q405" s="562"/>
    </row>
    <row r="406" spans="1:31" ht="12" customHeight="1">
      <c r="A406" s="48" t="s">
        <v>2132</v>
      </c>
      <c r="B406" s="53" t="s">
        <v>3610</v>
      </c>
      <c r="E406" s="144"/>
      <c r="O406" s="484" t="s">
        <v>2132</v>
      </c>
      <c r="P406" s="2196"/>
      <c r="Q406" s="562"/>
    </row>
    <row r="407" spans="1:31" ht="12" customHeight="1">
      <c r="A407" s="48" t="s">
        <v>1748</v>
      </c>
      <c r="B407" s="53" t="s">
        <v>2096</v>
      </c>
      <c r="E407" s="144"/>
      <c r="G407" s="484" t="s">
        <v>1748</v>
      </c>
      <c r="H407" s="3098"/>
      <c r="I407" s="3099"/>
      <c r="J407" s="3099"/>
      <c r="K407" s="3099"/>
      <c r="L407" s="3099"/>
      <c r="M407" s="3099"/>
      <c r="N407" s="3099"/>
      <c r="O407" s="3100"/>
      <c r="P407" s="2192"/>
      <c r="Q407" s="563"/>
    </row>
    <row r="408" spans="1:31" ht="11.25" customHeight="1">
      <c r="B408" s="145" t="s">
        <v>3781</v>
      </c>
      <c r="D408" s="145"/>
      <c r="E408" s="145"/>
      <c r="F408" s="145"/>
      <c r="G408" s="145"/>
      <c r="H408" s="41"/>
      <c r="I408" s="1597"/>
      <c r="J408" s="1597"/>
      <c r="K408" s="1597"/>
      <c r="L408" s="1586"/>
      <c r="M408" s="1586"/>
      <c r="N408" s="1586"/>
      <c r="O408" s="1586"/>
      <c r="P408" s="1586"/>
      <c r="Q408" s="955"/>
    </row>
    <row r="409" spans="1:31" ht="11.45" customHeight="1">
      <c r="A409" s="3101" t="s">
        <v>4584</v>
      </c>
      <c r="B409" s="3102"/>
      <c r="C409" s="3102"/>
      <c r="D409" s="3102"/>
      <c r="E409" s="3102"/>
      <c r="F409" s="3102"/>
      <c r="G409" s="3102"/>
      <c r="H409" s="3102"/>
      <c r="I409" s="3102"/>
      <c r="J409" s="3102"/>
      <c r="K409" s="3102"/>
      <c r="L409" s="3102"/>
      <c r="M409" s="3102"/>
      <c r="N409" s="3102"/>
      <c r="O409" s="3102"/>
      <c r="P409" s="3102"/>
      <c r="Q409" s="3103"/>
      <c r="U409" s="140"/>
      <c r="V409" s="140"/>
      <c r="W409" s="140"/>
      <c r="X409" s="140"/>
      <c r="Y409" s="140"/>
      <c r="Z409" s="140"/>
      <c r="AA409" s="140"/>
      <c r="AB409" s="140"/>
      <c r="AC409" s="140"/>
      <c r="AD409" s="140"/>
      <c r="AE409" s="486"/>
    </row>
    <row r="410" spans="1:31" ht="11.25" customHeight="1">
      <c r="B410" s="141" t="s">
        <v>1881</v>
      </c>
      <c r="C410" s="142"/>
      <c r="D410" s="1588"/>
      <c r="E410" s="1588"/>
      <c r="F410" s="1588"/>
      <c r="G410" s="1588"/>
      <c r="H410" s="1588"/>
      <c r="I410" s="1588"/>
      <c r="J410" s="1588"/>
      <c r="K410" s="1588"/>
      <c r="L410" s="1588"/>
      <c r="M410" s="1588"/>
      <c r="N410" s="1588"/>
      <c r="O410" s="1588"/>
      <c r="P410" s="1588"/>
      <c r="Q410" s="1588"/>
    </row>
    <row r="411" spans="1:31" ht="11.45" customHeight="1">
      <c r="A411" s="3093"/>
      <c r="B411" s="3094"/>
      <c r="C411" s="3094"/>
      <c r="D411" s="3094"/>
      <c r="E411" s="3094"/>
      <c r="F411" s="3094"/>
      <c r="G411" s="3094"/>
      <c r="H411" s="3094"/>
      <c r="I411" s="3094"/>
      <c r="J411" s="3094"/>
      <c r="K411" s="3094"/>
      <c r="L411" s="3094"/>
      <c r="M411" s="3094"/>
      <c r="N411" s="3094"/>
      <c r="O411" s="3094"/>
      <c r="P411" s="3094"/>
      <c r="Q411" s="3095"/>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4163</v>
      </c>
      <c r="B413" s="4" t="s">
        <v>2687</v>
      </c>
      <c r="C413" s="4"/>
      <c r="D413" s="4"/>
      <c r="E413" s="4"/>
      <c r="F413" s="4"/>
      <c r="G413" s="4"/>
      <c r="H413" s="1588"/>
      <c r="I413" s="1588"/>
      <c r="J413" s="1588"/>
      <c r="K413" s="1588"/>
      <c r="L413" s="1588"/>
      <c r="M413" s="1588"/>
      <c r="O413" s="136" t="s">
        <v>1882</v>
      </c>
      <c r="P413" s="3096"/>
      <c r="Q413" s="3097"/>
    </row>
    <row r="414" spans="1:31" ht="12" customHeight="1">
      <c r="A414" s="48" t="s">
        <v>2000</v>
      </c>
      <c r="B414" s="40" t="s">
        <v>760</v>
      </c>
      <c r="D414" s="43"/>
      <c r="E414" s="43"/>
      <c r="F414" s="43"/>
      <c r="G414" s="43"/>
      <c r="H414" s="43"/>
      <c r="I414" s="43"/>
      <c r="J414" s="43"/>
      <c r="K414" s="43"/>
      <c r="L414" s="43"/>
      <c r="M414" s="43"/>
      <c r="N414" s="43"/>
      <c r="O414" s="484" t="s">
        <v>2000</v>
      </c>
      <c r="P414" s="2193" t="s">
        <v>3015</v>
      </c>
      <c r="Q414" s="561"/>
    </row>
    <row r="415" spans="1:31" ht="12" customHeight="1">
      <c r="A415" s="48" t="s">
        <v>2002</v>
      </c>
      <c r="B415" s="37" t="s">
        <v>3500</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193"/>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192"/>
      <c r="Q419" s="563"/>
    </row>
    <row r="420" spans="1:32" ht="12" customHeight="1">
      <c r="A420" s="48" t="s">
        <v>2132</v>
      </c>
      <c r="B420" s="956" t="s">
        <v>2835</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2269"/>
      <c r="H421" s="572"/>
      <c r="J421" s="139" t="s">
        <v>2222</v>
      </c>
      <c r="K421" s="956"/>
      <c r="N421" s="2269"/>
      <c r="O421" s="572"/>
    </row>
    <row r="422" spans="1:32" ht="12" customHeight="1">
      <c r="A422" s="48"/>
      <c r="B422" s="139" t="s">
        <v>2220</v>
      </c>
      <c r="C422" s="37"/>
      <c r="E422" s="43"/>
      <c r="F422" s="956"/>
      <c r="G422" s="2270"/>
      <c r="H422" s="573"/>
      <c r="J422" s="139" t="s">
        <v>2223</v>
      </c>
      <c r="K422" s="956"/>
      <c r="N422" s="2271"/>
      <c r="O422" s="574"/>
    </row>
    <row r="423" spans="1:32" ht="12" customHeight="1">
      <c r="A423" s="48"/>
      <c r="B423" s="139" t="s">
        <v>2221</v>
      </c>
      <c r="C423" s="37"/>
      <c r="E423" s="43"/>
      <c r="F423" s="956"/>
      <c r="G423" s="2271"/>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2270</v>
      </c>
      <c r="N426" s="3134"/>
      <c r="O426" s="3135"/>
      <c r="P426" s="3135"/>
      <c r="Q426" s="3136"/>
    </row>
    <row r="427" spans="1:32" ht="12" customHeight="1">
      <c r="B427" s="145" t="s">
        <v>3781</v>
      </c>
      <c r="D427" s="145"/>
      <c r="E427" s="145"/>
      <c r="F427" s="145"/>
      <c r="G427" s="145"/>
      <c r="H427" s="41"/>
      <c r="I427" s="1597"/>
      <c r="J427" s="1597"/>
      <c r="K427" s="1597"/>
      <c r="P427" s="1586"/>
      <c r="Q427" s="955"/>
    </row>
    <row r="428" spans="1:32" ht="12" customHeight="1">
      <c r="A428" s="3101" t="s">
        <v>4583</v>
      </c>
      <c r="B428" s="3102"/>
      <c r="C428" s="3102"/>
      <c r="D428" s="3102"/>
      <c r="E428" s="3102"/>
      <c r="F428" s="3102"/>
      <c r="G428" s="3102"/>
      <c r="H428" s="3102"/>
      <c r="I428" s="3102"/>
      <c r="J428" s="3102"/>
      <c r="K428" s="3102"/>
      <c r="L428" s="3102"/>
      <c r="M428" s="3102"/>
      <c r="N428" s="3102"/>
      <c r="O428" s="3102"/>
      <c r="P428" s="3102"/>
      <c r="Q428" s="3103"/>
      <c r="U428" s="140"/>
      <c r="V428" s="140"/>
      <c r="W428" s="140"/>
      <c r="X428" s="140"/>
      <c r="Y428" s="140"/>
      <c r="Z428" s="140"/>
      <c r="AA428" s="140"/>
      <c r="AB428" s="140"/>
      <c r="AC428" s="140"/>
      <c r="AD428" s="140"/>
      <c r="AE428" s="486"/>
    </row>
    <row r="429" spans="1:32" ht="12" customHeight="1">
      <c r="B429" s="141" t="s">
        <v>1881</v>
      </c>
      <c r="C429" s="142"/>
      <c r="D429" s="1588"/>
      <c r="E429" s="1588"/>
      <c r="F429" s="1588"/>
      <c r="G429" s="1588"/>
      <c r="H429" s="1588"/>
      <c r="I429" s="1588"/>
      <c r="J429" s="1588"/>
      <c r="K429" s="1588"/>
      <c r="L429" s="1588"/>
      <c r="M429" s="1588"/>
      <c r="N429" s="1588"/>
      <c r="O429" s="1588"/>
      <c r="P429" s="1588"/>
      <c r="Q429" s="1588"/>
    </row>
    <row r="430" spans="1:32" ht="12" customHeight="1">
      <c r="A430" s="3093"/>
      <c r="B430" s="3094"/>
      <c r="C430" s="3094"/>
      <c r="D430" s="3094"/>
      <c r="E430" s="3094"/>
      <c r="F430" s="3094"/>
      <c r="G430" s="3094"/>
      <c r="H430" s="3094"/>
      <c r="I430" s="3094"/>
      <c r="J430" s="3094"/>
      <c r="K430" s="3094"/>
      <c r="L430" s="3094"/>
      <c r="M430" s="3094"/>
      <c r="N430" s="3094"/>
      <c r="O430" s="3094"/>
      <c r="P430" s="3094"/>
      <c r="Q430" s="3095"/>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4164</v>
      </c>
      <c r="B432" s="4" t="s">
        <v>2836</v>
      </c>
      <c r="C432" s="4"/>
      <c r="D432" s="89"/>
      <c r="E432" s="1588"/>
      <c r="F432" s="1588"/>
      <c r="G432" s="1588"/>
      <c r="H432" s="1588"/>
      <c r="O432" s="136" t="s">
        <v>1882</v>
      </c>
      <c r="P432" s="3096"/>
      <c r="Q432" s="3124"/>
    </row>
    <row r="433" spans="1:32" ht="13.9" customHeight="1">
      <c r="B433" s="89" t="s">
        <v>3970</v>
      </c>
      <c r="C433" s="4"/>
      <c r="D433" s="89"/>
      <c r="E433" s="1588"/>
      <c r="F433" s="1588"/>
      <c r="G433" s="1588"/>
      <c r="H433" s="1588"/>
    </row>
    <row r="434" spans="1:32" s="137" customFormat="1" ht="21.75" customHeight="1">
      <c r="A434" s="146" t="s">
        <v>2000</v>
      </c>
      <c r="B434" s="3092" t="s">
        <v>3973</v>
      </c>
      <c r="C434" s="3092"/>
      <c r="D434" s="3092"/>
      <c r="E434" s="3092"/>
      <c r="F434" s="3092"/>
      <c r="G434" s="3092"/>
      <c r="H434" s="3092"/>
      <c r="I434" s="3092"/>
      <c r="J434" s="3092"/>
      <c r="K434" s="3092"/>
      <c r="L434" s="3092"/>
      <c r="M434" s="3092"/>
      <c r="N434" s="3092"/>
      <c r="O434" s="166" t="s">
        <v>2000</v>
      </c>
      <c r="P434" s="2236" t="s">
        <v>4553</v>
      </c>
      <c r="Q434" s="1261"/>
      <c r="AE434" s="487"/>
      <c r="AF434" s="487"/>
    </row>
    <row r="435" spans="1:32" s="137" customFormat="1" ht="22.5" customHeight="1">
      <c r="A435" s="146" t="s">
        <v>2002</v>
      </c>
      <c r="B435" s="3092" t="s">
        <v>3971</v>
      </c>
      <c r="C435" s="3092"/>
      <c r="D435" s="3092"/>
      <c r="E435" s="3092"/>
      <c r="F435" s="3092"/>
      <c r="G435" s="3092"/>
      <c r="H435" s="3092"/>
      <c r="I435" s="3092"/>
      <c r="J435" s="3092"/>
      <c r="K435" s="3092"/>
      <c r="L435" s="3092"/>
      <c r="M435" s="3092"/>
      <c r="N435" s="3092"/>
      <c r="O435" s="166" t="s">
        <v>2002</v>
      </c>
      <c r="P435" s="2262" t="s">
        <v>4553</v>
      </c>
      <c r="Q435" s="564"/>
      <c r="AE435" s="487"/>
      <c r="AF435" s="487"/>
    </row>
    <row r="436" spans="1:32" s="137" customFormat="1" ht="22.5" customHeight="1">
      <c r="B436" s="3092" t="s">
        <v>3972</v>
      </c>
      <c r="C436" s="3092"/>
      <c r="D436" s="3092"/>
      <c r="E436" s="3092"/>
      <c r="F436" s="3092"/>
      <c r="G436" s="3092"/>
      <c r="H436" s="3092"/>
      <c r="I436" s="3092"/>
      <c r="J436" s="3092"/>
      <c r="K436" s="3092"/>
      <c r="L436" s="3092"/>
      <c r="M436" s="3092"/>
      <c r="N436" s="3092"/>
      <c r="O436" s="166" t="s">
        <v>1750</v>
      </c>
      <c r="P436" s="2262" t="s">
        <v>4553</v>
      </c>
      <c r="Q436" s="564"/>
      <c r="AE436" s="487"/>
      <c r="AF436" s="487"/>
    </row>
    <row r="437" spans="1:32" s="137" customFormat="1" ht="12" customHeight="1">
      <c r="B437" s="405" t="s">
        <v>3974</v>
      </c>
      <c r="D437" s="622"/>
      <c r="E437" s="622"/>
      <c r="F437" s="622"/>
      <c r="G437" s="622"/>
      <c r="H437" s="622"/>
      <c r="I437" s="622"/>
      <c r="J437" s="622"/>
      <c r="K437" s="622"/>
      <c r="L437" s="622"/>
      <c r="M437" s="622"/>
      <c r="N437" s="622"/>
      <c r="O437" s="166" t="s">
        <v>1751</v>
      </c>
      <c r="P437" s="2262" t="s">
        <v>4553</v>
      </c>
      <c r="Q437" s="564"/>
      <c r="AE437" s="487"/>
      <c r="AF437" s="487"/>
    </row>
    <row r="438" spans="1:32" s="137" customFormat="1" ht="36" customHeight="1">
      <c r="B438" s="3092" t="s">
        <v>3975</v>
      </c>
      <c r="C438" s="3092"/>
      <c r="D438" s="3092"/>
      <c r="E438" s="3092"/>
      <c r="F438" s="3092"/>
      <c r="G438" s="3092"/>
      <c r="H438" s="3092"/>
      <c r="I438" s="3092"/>
      <c r="J438" s="3092"/>
      <c r="K438" s="3092"/>
      <c r="L438" s="3092"/>
      <c r="M438" s="3092"/>
      <c r="N438" s="3092"/>
      <c r="O438" s="166" t="s">
        <v>1752</v>
      </c>
      <c r="P438" s="2262" t="s">
        <v>4553</v>
      </c>
      <c r="Q438" s="564"/>
      <c r="AE438" s="487"/>
      <c r="AF438" s="487"/>
    </row>
    <row r="439" spans="1:32" s="137" customFormat="1" ht="22.5" customHeight="1">
      <c r="B439" s="3092" t="s">
        <v>3976</v>
      </c>
      <c r="C439" s="3092"/>
      <c r="D439" s="3092"/>
      <c r="E439" s="3092"/>
      <c r="F439" s="3092"/>
      <c r="G439" s="3092"/>
      <c r="H439" s="3092"/>
      <c r="I439" s="3092"/>
      <c r="J439" s="3092"/>
      <c r="K439" s="3092"/>
      <c r="L439" s="3092"/>
      <c r="M439" s="3092"/>
      <c r="N439" s="3092"/>
      <c r="O439" s="166" t="s">
        <v>2382</v>
      </c>
      <c r="P439" s="2262" t="s">
        <v>4553</v>
      </c>
      <c r="Q439" s="564"/>
      <c r="AE439" s="487"/>
      <c r="AF439" s="487"/>
    </row>
    <row r="440" spans="1:32" s="137" customFormat="1" ht="22.5" customHeight="1">
      <c r="A440" s="146" t="s">
        <v>757</v>
      </c>
      <c r="B440" s="3092" t="s">
        <v>3977</v>
      </c>
      <c r="C440" s="3092"/>
      <c r="D440" s="3092"/>
      <c r="E440" s="3092"/>
      <c r="F440" s="3092"/>
      <c r="G440" s="3092"/>
      <c r="H440" s="3092"/>
      <c r="I440" s="3092"/>
      <c r="J440" s="3092"/>
      <c r="K440" s="3092"/>
      <c r="L440" s="3092"/>
      <c r="M440" s="3092"/>
      <c r="N440" s="3092"/>
      <c r="O440" s="166" t="s">
        <v>757</v>
      </c>
      <c r="P440" s="2262" t="s">
        <v>4553</v>
      </c>
      <c r="Q440" s="564"/>
      <c r="AE440" s="487"/>
      <c r="AF440" s="487"/>
    </row>
    <row r="441" spans="1:32" s="137" customFormat="1" ht="22.5" customHeight="1">
      <c r="A441" s="146" t="s">
        <v>2132</v>
      </c>
      <c r="B441" s="3092" t="s">
        <v>3978</v>
      </c>
      <c r="C441" s="3092"/>
      <c r="D441" s="3092"/>
      <c r="E441" s="3092"/>
      <c r="F441" s="3092"/>
      <c r="G441" s="3092"/>
      <c r="H441" s="3092"/>
      <c r="I441" s="3092"/>
      <c r="J441" s="3092"/>
      <c r="K441" s="3092"/>
      <c r="L441" s="3092"/>
      <c r="M441" s="3092"/>
      <c r="N441" s="3092"/>
      <c r="O441" s="166" t="s">
        <v>2132</v>
      </c>
      <c r="P441" s="2262" t="s">
        <v>4553</v>
      </c>
      <c r="Q441" s="564"/>
      <c r="AE441" s="487"/>
      <c r="AF441" s="487"/>
    </row>
    <row r="442" spans="1:32" s="137" customFormat="1" ht="21.75" customHeight="1">
      <c r="A442" s="146" t="s">
        <v>1748</v>
      </c>
      <c r="B442" s="3092" t="s">
        <v>3979</v>
      </c>
      <c r="C442" s="3092"/>
      <c r="D442" s="3092"/>
      <c r="E442" s="3092"/>
      <c r="F442" s="3092"/>
      <c r="G442" s="3092"/>
      <c r="H442" s="3092"/>
      <c r="I442" s="3092"/>
      <c r="J442" s="3092"/>
      <c r="K442" s="3092"/>
      <c r="L442" s="3092"/>
      <c r="M442" s="3092"/>
      <c r="N442" s="3092"/>
      <c r="O442" s="166" t="s">
        <v>1748</v>
      </c>
      <c r="P442" s="2262" t="s">
        <v>4553</v>
      </c>
      <c r="Q442" s="564"/>
      <c r="AE442" s="487"/>
      <c r="AF442" s="487"/>
    </row>
    <row r="443" spans="1:32" s="429" customFormat="1" ht="21.75" customHeight="1">
      <c r="A443" s="146" t="s">
        <v>1749</v>
      </c>
      <c r="B443" s="3092" t="s">
        <v>3501</v>
      </c>
      <c r="C443" s="3092"/>
      <c r="D443" s="3092"/>
      <c r="E443" s="3092"/>
      <c r="F443" s="3092"/>
      <c r="G443" s="3092"/>
      <c r="H443" s="3092"/>
      <c r="I443" s="3092"/>
      <c r="J443" s="3092"/>
      <c r="K443" s="3092"/>
      <c r="L443" s="3092"/>
      <c r="M443" s="3092"/>
      <c r="N443" s="3092"/>
      <c r="O443" s="166" t="s">
        <v>1749</v>
      </c>
      <c r="P443" s="2249" t="s">
        <v>4553</v>
      </c>
      <c r="Q443" s="1282"/>
      <c r="AE443" s="489"/>
      <c r="AF443" s="489"/>
    </row>
    <row r="444" spans="1:32" ht="11.25" customHeight="1">
      <c r="B444" s="145" t="s">
        <v>3781</v>
      </c>
      <c r="D444" s="145"/>
      <c r="E444" s="145"/>
      <c r="F444" s="145"/>
      <c r="G444" s="145"/>
      <c r="H444" s="41"/>
      <c r="I444" s="1597"/>
      <c r="J444" s="1597"/>
      <c r="K444" s="1597"/>
      <c r="L444" s="1586"/>
      <c r="M444" s="1586"/>
      <c r="N444" s="1586"/>
      <c r="O444" s="1586"/>
      <c r="P444" s="1586"/>
      <c r="Q444" s="955"/>
    </row>
    <row r="445" spans="1:32" ht="22.5" customHeight="1">
      <c r="A445" s="3101" t="s">
        <v>4582</v>
      </c>
      <c r="B445" s="3102"/>
      <c r="C445" s="3102"/>
      <c r="D445" s="3102"/>
      <c r="E445" s="3102"/>
      <c r="F445" s="3102"/>
      <c r="G445" s="3102"/>
      <c r="H445" s="3102"/>
      <c r="I445" s="3102"/>
      <c r="J445" s="3102"/>
      <c r="K445" s="3102"/>
      <c r="L445" s="3102"/>
      <c r="M445" s="3102"/>
      <c r="N445" s="3102"/>
      <c r="O445" s="3102"/>
      <c r="P445" s="3102"/>
      <c r="Q445" s="3103"/>
      <c r="R445" s="461" t="s">
        <v>1266</v>
      </c>
      <c r="S445" s="462"/>
      <c r="U445" s="140"/>
      <c r="V445" s="140"/>
      <c r="W445" s="140"/>
      <c r="X445" s="140"/>
      <c r="Y445" s="140"/>
      <c r="Z445" s="140"/>
      <c r="AA445" s="140"/>
      <c r="AB445" s="140"/>
      <c r="AC445" s="140"/>
      <c r="AD445" s="140"/>
      <c r="AE445" s="486"/>
    </row>
    <row r="446" spans="1:32" ht="11.25" customHeight="1">
      <c r="B446" s="141" t="s">
        <v>1881</v>
      </c>
      <c r="C446" s="142"/>
      <c r="D446" s="1588"/>
      <c r="E446" s="1588"/>
      <c r="F446" s="1588"/>
      <c r="G446" s="1588"/>
      <c r="H446" s="1588"/>
      <c r="I446" s="1588"/>
      <c r="J446" s="1588"/>
      <c r="K446" s="1588"/>
      <c r="L446" s="1588"/>
      <c r="M446" s="1588"/>
      <c r="N446" s="1588"/>
      <c r="O446" s="1588"/>
      <c r="P446" s="1588"/>
      <c r="Q446" s="1588"/>
    </row>
    <row r="447" spans="1:32" ht="22.5" customHeight="1">
      <c r="A447" s="3093"/>
      <c r="B447" s="3094"/>
      <c r="C447" s="3094"/>
      <c r="D447" s="3094"/>
      <c r="E447" s="3094"/>
      <c r="F447" s="3094"/>
      <c r="G447" s="3094"/>
      <c r="H447" s="3094"/>
      <c r="I447" s="3094"/>
      <c r="J447" s="3094"/>
      <c r="K447" s="3094"/>
      <c r="L447" s="3094"/>
      <c r="M447" s="3094"/>
      <c r="N447" s="3094"/>
      <c r="O447" s="3094"/>
      <c r="P447" s="3094"/>
      <c r="Q447" s="3095"/>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4165</v>
      </c>
      <c r="B449" s="4" t="s">
        <v>2688</v>
      </c>
      <c r="C449" s="4"/>
      <c r="D449" s="89"/>
      <c r="E449" s="1588"/>
      <c r="F449" s="1588"/>
      <c r="G449" s="1588"/>
      <c r="H449" s="1588"/>
      <c r="I449" s="1588"/>
      <c r="J449" s="1588"/>
      <c r="K449" s="1588"/>
      <c r="L449" s="1588"/>
      <c r="M449" s="1588"/>
      <c r="O449" s="136" t="s">
        <v>1882</v>
      </c>
      <c r="P449" s="3096"/>
      <c r="Q449" s="3124"/>
    </row>
    <row r="450" spans="1:32" ht="11.25" customHeight="1">
      <c r="A450" s="1583"/>
      <c r="B450" s="145" t="s">
        <v>3781</v>
      </c>
      <c r="D450" s="145"/>
      <c r="E450" s="145"/>
      <c r="F450" s="145"/>
      <c r="G450" s="145"/>
      <c r="H450" s="41"/>
      <c r="I450" s="1597"/>
      <c r="J450" s="1597"/>
      <c r="K450" s="1597"/>
      <c r="L450" s="1586"/>
      <c r="M450" s="1586"/>
      <c r="N450" s="1586"/>
      <c r="O450" s="1586"/>
      <c r="P450" s="1586"/>
      <c r="Q450" s="955"/>
    </row>
    <row r="451" spans="1:32" ht="33.75" customHeight="1">
      <c r="A451" s="3101" t="s">
        <v>4732</v>
      </c>
      <c r="B451" s="3102"/>
      <c r="C451" s="3102"/>
      <c r="D451" s="3102"/>
      <c r="E451" s="3102"/>
      <c r="F451" s="3102"/>
      <c r="G451" s="3102"/>
      <c r="H451" s="3102"/>
      <c r="I451" s="3102"/>
      <c r="J451" s="3102"/>
      <c r="K451" s="3102"/>
      <c r="L451" s="3102"/>
      <c r="M451" s="3102"/>
      <c r="N451" s="3102"/>
      <c r="O451" s="3102"/>
      <c r="P451" s="3102"/>
      <c r="Q451" s="3103"/>
      <c r="R451" s="461" t="s">
        <v>1266</v>
      </c>
      <c r="S451" s="462"/>
      <c r="U451" s="140"/>
      <c r="V451" s="140"/>
      <c r="W451" s="140"/>
      <c r="X451" s="140"/>
      <c r="Y451" s="140"/>
      <c r="Z451" s="140"/>
      <c r="AA451" s="140"/>
      <c r="AB451" s="140"/>
      <c r="AC451" s="140"/>
      <c r="AD451" s="140"/>
      <c r="AE451" s="486"/>
    </row>
    <row r="452" spans="1:32" ht="11.25" customHeight="1">
      <c r="B452" s="141" t="s">
        <v>1881</v>
      </c>
      <c r="C452" s="142"/>
      <c r="D452" s="1588"/>
      <c r="E452" s="1588"/>
      <c r="F452" s="1588"/>
      <c r="G452" s="1588"/>
      <c r="H452" s="1588"/>
      <c r="I452" s="1588"/>
      <c r="J452" s="1588"/>
      <c r="K452" s="1588"/>
      <c r="L452" s="1588"/>
      <c r="M452" s="1588"/>
      <c r="N452" s="1588"/>
      <c r="O452" s="1588"/>
      <c r="P452" s="1588"/>
      <c r="Q452" s="1588"/>
    </row>
    <row r="453" spans="1:32" ht="22.5" customHeight="1">
      <c r="A453" s="3093"/>
      <c r="B453" s="3094"/>
      <c r="C453" s="3094"/>
      <c r="D453" s="3094"/>
      <c r="E453" s="3094"/>
      <c r="F453" s="3094"/>
      <c r="G453" s="3094"/>
      <c r="H453" s="3094"/>
      <c r="I453" s="3094"/>
      <c r="J453" s="3094"/>
      <c r="K453" s="3094"/>
      <c r="L453" s="3094"/>
      <c r="M453" s="3094"/>
      <c r="N453" s="3094"/>
      <c r="O453" s="3094"/>
      <c r="P453" s="3094"/>
      <c r="Q453" s="3095"/>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2905</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3897</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3947</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3946</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3948</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2748</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2NABLv7hiJtfE0ja/1y0y5zCB+PvDLyq42YBFAk5tQW9wdu8RtMmmaq27nXnnC5s1kRswqKdn/uk0bh1LQXxDQ==" saltValue="kSySjJN9GiZNFEnzBjbOS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8" zoomScaleNormal="100" workbookViewId="0">
      <selection activeCell="A5"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23" t="str">
        <f>CONCATENATE("PART NINE - SCORING CRITERIA","  -  ",'Part I-Project Information'!$O$6," ",'Part I-Project Information'!$F$34,", ",'Part I-Project Information'!F38,", ",'Part I-Project Information'!J39," County")</f>
        <v>PART NINE - SCORING CRITERIA  -  2018-021 Grayling Place, Columbus, Muscogee County</v>
      </c>
      <c r="B1" s="2824"/>
      <c r="C1" s="2824"/>
      <c r="D1" s="2824"/>
      <c r="E1" s="2824"/>
      <c r="F1" s="2824"/>
      <c r="G1" s="2824"/>
      <c r="H1" s="2824"/>
      <c r="I1" s="2824"/>
      <c r="J1" s="2824"/>
      <c r="K1" s="2824"/>
      <c r="L1" s="2824"/>
      <c r="M1" s="2824"/>
      <c r="N1" s="2824"/>
      <c r="O1" s="2824"/>
      <c r="P1" s="2825"/>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3489" t="s">
        <v>4141</v>
      </c>
      <c r="B3" s="3489"/>
      <c r="C3" s="3489"/>
      <c r="D3" s="3489"/>
      <c r="E3" s="3489"/>
      <c r="F3" s="3489"/>
      <c r="G3" s="3489"/>
      <c r="H3" s="3489"/>
      <c r="I3" s="3489"/>
      <c r="J3" s="3489"/>
      <c r="K3" s="3489"/>
      <c r="L3" s="3489"/>
      <c r="M3" s="1269" t="s">
        <v>2236</v>
      </c>
      <c r="N3" s="76"/>
      <c r="O3" s="86" t="s">
        <v>2235</v>
      </c>
      <c r="P3" s="1270" t="s">
        <v>258</v>
      </c>
    </row>
    <row r="4" spans="1:22" s="45" customFormat="1" ht="12" customHeight="1">
      <c r="A4" s="3489"/>
      <c r="B4" s="3489"/>
      <c r="C4" s="3489"/>
      <c r="D4" s="3489"/>
      <c r="E4" s="3489"/>
      <c r="F4" s="3489"/>
      <c r="G4" s="3489"/>
      <c r="H4" s="3489"/>
      <c r="I4" s="3489"/>
      <c r="J4" s="3489"/>
      <c r="K4" s="3489"/>
      <c r="L4" s="3489"/>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58</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2804</v>
      </c>
      <c r="C8" s="4"/>
      <c r="D8" s="4"/>
      <c r="E8" s="4"/>
      <c r="F8" s="1593"/>
      <c r="H8" s="50" t="s">
        <v>3502</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3675</v>
      </c>
      <c r="M10" s="6"/>
      <c r="N10" s="67" t="s">
        <v>2000</v>
      </c>
      <c r="O10" s="2186"/>
      <c r="P10" s="1254">
        <f>F15</f>
        <v>0</v>
      </c>
    </row>
    <row r="11" spans="1:22" s="44" customFormat="1" ht="11.25" customHeight="1">
      <c r="A11" s="185"/>
      <c r="C11" s="113" t="s">
        <v>2130</v>
      </c>
      <c r="D11" s="49"/>
      <c r="E11" s="49"/>
      <c r="F11" s="1593"/>
      <c r="H11" s="179" t="s">
        <v>2785</v>
      </c>
      <c r="J11" s="50"/>
      <c r="M11" s="6">
        <v>1</v>
      </c>
      <c r="N11" s="67"/>
      <c r="O11" s="2187"/>
      <c r="P11" s="1298">
        <f>J15</f>
        <v>0</v>
      </c>
    </row>
    <row r="12" spans="1:22" s="43" customFormat="1" ht="11.25" customHeight="1">
      <c r="A12" s="185" t="s">
        <v>2002</v>
      </c>
      <c r="B12" s="172" t="s">
        <v>734</v>
      </c>
      <c r="D12" s="49"/>
      <c r="E12" s="49"/>
      <c r="F12" s="1593"/>
      <c r="H12" s="179" t="s">
        <v>2749</v>
      </c>
      <c r="J12" s="50"/>
      <c r="M12" s="6"/>
      <c r="N12" s="67" t="s">
        <v>2002</v>
      </c>
      <c r="O12" s="2186"/>
      <c r="P12" s="1254">
        <f>O15</f>
        <v>0</v>
      </c>
    </row>
    <row r="13" spans="1:22" s="43" customFormat="1" ht="10.9" customHeight="1">
      <c r="A13" s="69"/>
      <c r="C13" s="113" t="s">
        <v>4196</v>
      </c>
      <c r="D13" s="53"/>
      <c r="E13" s="53"/>
      <c r="F13" s="53"/>
      <c r="G13" s="69"/>
      <c r="H13" s="179" t="s">
        <v>2749</v>
      </c>
      <c r="I13" s="69"/>
      <c r="J13" s="69"/>
      <c r="K13" s="69"/>
      <c r="L13" s="69"/>
      <c r="M13" s="69"/>
      <c r="N13" s="69"/>
      <c r="O13" s="2188"/>
      <c r="P13" s="1255">
        <f>+O29</f>
        <v>0</v>
      </c>
      <c r="R13" s="463"/>
      <c r="S13" s="163"/>
    </row>
    <row r="14" spans="1:22" s="43" customFormat="1" ht="10.9" customHeight="1">
      <c r="A14" s="3527" t="s">
        <v>3873</v>
      </c>
      <c r="B14" s="3527"/>
      <c r="C14" s="3527"/>
      <c r="D14" s="3527"/>
      <c r="E14" s="3527"/>
      <c r="F14" s="1597" t="s">
        <v>4199</v>
      </c>
      <c r="J14" s="1597" t="s">
        <v>4199</v>
      </c>
      <c r="K14" s="1597"/>
      <c r="O14" s="3531" t="s">
        <v>4199</v>
      </c>
      <c r="P14" s="3531"/>
      <c r="R14" s="463"/>
      <c r="S14" s="163"/>
    </row>
    <row r="15" spans="1:22" s="43" customFormat="1" ht="11.25" customHeight="1">
      <c r="A15" s="3511"/>
      <c r="B15" s="3511"/>
      <c r="C15" s="3511"/>
      <c r="D15" s="3511"/>
      <c r="E15" s="3511"/>
      <c r="F15" s="79">
        <f>SUM(F16:F27)</f>
        <v>0</v>
      </c>
      <c r="G15" s="3528" t="s">
        <v>3611</v>
      </c>
      <c r="H15" s="3529"/>
      <c r="I15" s="3530"/>
      <c r="J15" s="79">
        <f>SUM(J16:J27)</f>
        <v>0</v>
      </c>
      <c r="K15" s="3532" t="s">
        <v>3395</v>
      </c>
      <c r="L15" s="3533"/>
      <c r="M15" s="3533"/>
      <c r="N15" s="3534"/>
      <c r="O15" s="3500">
        <f>SUM(O16:O27)</f>
        <v>0</v>
      </c>
      <c r="P15" s="3501"/>
      <c r="Q15" s="463"/>
      <c r="R15" s="163"/>
    </row>
    <row r="16" spans="1:22" s="43" customFormat="1" ht="24.75" customHeight="1">
      <c r="A16" s="3520">
        <v>1</v>
      </c>
      <c r="B16" s="3521"/>
      <c r="C16" s="3521"/>
      <c r="D16" s="3521"/>
      <c r="E16" s="3522"/>
      <c r="F16" s="935"/>
      <c r="G16" s="3520">
        <v>1</v>
      </c>
      <c r="H16" s="3521"/>
      <c r="I16" s="3522"/>
      <c r="J16" s="939" t="s">
        <v>1746</v>
      </c>
      <c r="K16" s="3523">
        <v>1</v>
      </c>
      <c r="L16" s="3524"/>
      <c r="M16" s="3524"/>
      <c r="N16" s="3524"/>
      <c r="O16" s="3525" t="s">
        <v>1746</v>
      </c>
      <c r="P16" s="3526"/>
      <c r="Q16" s="461" t="s">
        <v>1266</v>
      </c>
      <c r="R16" s="163"/>
    </row>
    <row r="17" spans="1:19" s="43" customFormat="1" ht="24.75" customHeight="1">
      <c r="A17" s="3507">
        <v>2</v>
      </c>
      <c r="B17" s="3508"/>
      <c r="C17" s="3508"/>
      <c r="D17" s="3508"/>
      <c r="E17" s="3509"/>
      <c r="F17" s="936"/>
      <c r="G17" s="3507">
        <v>2</v>
      </c>
      <c r="H17" s="3508"/>
      <c r="I17" s="3509"/>
      <c r="J17" s="936"/>
      <c r="K17" s="3487">
        <v>2</v>
      </c>
      <c r="L17" s="3488"/>
      <c r="M17" s="3488"/>
      <c r="N17" s="3488"/>
      <c r="O17" s="3505"/>
      <c r="P17" s="3506"/>
      <c r="Q17" s="462"/>
      <c r="R17" s="163"/>
    </row>
    <row r="18" spans="1:19" s="43" customFormat="1" ht="24.75" customHeight="1">
      <c r="A18" s="3507">
        <v>3</v>
      </c>
      <c r="B18" s="3508"/>
      <c r="C18" s="3508"/>
      <c r="D18" s="3508"/>
      <c r="E18" s="3509"/>
      <c r="F18" s="936"/>
      <c r="G18" s="3507">
        <v>3</v>
      </c>
      <c r="H18" s="3508"/>
      <c r="I18" s="3509"/>
      <c r="J18" s="1313" t="s">
        <v>2926</v>
      </c>
      <c r="K18" s="3487">
        <v>3</v>
      </c>
      <c r="L18" s="3488"/>
      <c r="M18" s="3488"/>
      <c r="N18" s="3488"/>
      <c r="O18" s="3538" t="s">
        <v>2926</v>
      </c>
      <c r="P18" s="3539"/>
      <c r="Q18" s="462"/>
      <c r="R18" s="163"/>
    </row>
    <row r="19" spans="1:19" s="43" customFormat="1" ht="24.75" customHeight="1">
      <c r="A19" s="3507">
        <v>4</v>
      </c>
      <c r="B19" s="3508"/>
      <c r="C19" s="3508"/>
      <c r="D19" s="3508"/>
      <c r="E19" s="3509"/>
      <c r="F19" s="936"/>
      <c r="G19" s="3507">
        <v>4</v>
      </c>
      <c r="H19" s="3508"/>
      <c r="I19" s="3509"/>
      <c r="J19" s="936"/>
      <c r="K19" s="3487">
        <v>4</v>
      </c>
      <c r="L19" s="3488"/>
      <c r="M19" s="3488"/>
      <c r="N19" s="3488"/>
      <c r="O19" s="3538" t="s">
        <v>2926</v>
      </c>
      <c r="P19" s="3539"/>
      <c r="Q19" s="462"/>
      <c r="R19" s="163"/>
    </row>
    <row r="20" spans="1:19" s="43" customFormat="1" ht="24.75" customHeight="1">
      <c r="A20" s="3507">
        <v>5</v>
      </c>
      <c r="B20" s="3508"/>
      <c r="C20" s="3508"/>
      <c r="D20" s="3508"/>
      <c r="E20" s="3509"/>
      <c r="F20" s="936"/>
      <c r="G20" s="3507">
        <v>5</v>
      </c>
      <c r="H20" s="3508"/>
      <c r="I20" s="3509"/>
      <c r="J20" s="1313" t="s">
        <v>3612</v>
      </c>
      <c r="K20" s="3487">
        <v>5</v>
      </c>
      <c r="L20" s="3488"/>
      <c r="M20" s="3488"/>
      <c r="N20" s="3488"/>
      <c r="O20" s="3505"/>
      <c r="P20" s="3506"/>
      <c r="Q20" s="163"/>
      <c r="R20" s="163"/>
    </row>
    <row r="21" spans="1:19" s="43" customFormat="1" ht="24.75" customHeight="1">
      <c r="A21" s="3507">
        <v>6</v>
      </c>
      <c r="B21" s="3508"/>
      <c r="C21" s="3508"/>
      <c r="D21" s="3508"/>
      <c r="E21" s="3509"/>
      <c r="F21" s="936"/>
      <c r="G21" s="3507">
        <v>6</v>
      </c>
      <c r="H21" s="3508"/>
      <c r="I21" s="3509"/>
      <c r="J21" s="936"/>
      <c r="K21" s="3487">
        <v>6</v>
      </c>
      <c r="L21" s="3488"/>
      <c r="M21" s="3488"/>
      <c r="N21" s="3488"/>
      <c r="O21" s="3505"/>
      <c r="P21" s="3506"/>
      <c r="Q21" s="163"/>
      <c r="R21" s="163"/>
    </row>
    <row r="22" spans="1:19" s="43" customFormat="1" ht="24.75" customHeight="1">
      <c r="A22" s="3507">
        <v>7</v>
      </c>
      <c r="B22" s="3508"/>
      <c r="C22" s="3508"/>
      <c r="D22" s="3508"/>
      <c r="E22" s="3509"/>
      <c r="F22" s="936"/>
      <c r="G22" s="3507">
        <v>7</v>
      </c>
      <c r="H22" s="3508"/>
      <c r="I22" s="3509"/>
      <c r="J22" s="1313" t="s">
        <v>3613</v>
      </c>
      <c r="K22" s="3487">
        <v>7</v>
      </c>
      <c r="L22" s="3488"/>
      <c r="M22" s="3488"/>
      <c r="N22" s="3488"/>
      <c r="O22" s="3505"/>
      <c r="P22" s="3506"/>
      <c r="Q22" s="163"/>
      <c r="R22" s="163"/>
    </row>
    <row r="23" spans="1:19" s="43" customFormat="1" ht="24.75" customHeight="1">
      <c r="A23" s="3507">
        <v>8</v>
      </c>
      <c r="B23" s="3508"/>
      <c r="C23" s="3508"/>
      <c r="D23" s="3508"/>
      <c r="E23" s="3509"/>
      <c r="F23" s="936"/>
      <c r="G23" s="3507">
        <v>8</v>
      </c>
      <c r="H23" s="3508"/>
      <c r="I23" s="3509"/>
      <c r="J23" s="936"/>
      <c r="K23" s="3487">
        <v>8</v>
      </c>
      <c r="L23" s="3488"/>
      <c r="M23" s="3488"/>
      <c r="N23" s="3488"/>
      <c r="O23" s="3505"/>
      <c r="P23" s="3506"/>
      <c r="Q23" s="163"/>
      <c r="R23" s="163"/>
    </row>
    <row r="24" spans="1:19" s="43" customFormat="1" ht="11.25" customHeight="1">
      <c r="A24" s="3507">
        <v>9</v>
      </c>
      <c r="B24" s="3508"/>
      <c r="C24" s="3508"/>
      <c r="D24" s="3508"/>
      <c r="E24" s="3509"/>
      <c r="F24" s="936"/>
      <c r="G24" s="3507">
        <v>9</v>
      </c>
      <c r="H24" s="3508"/>
      <c r="I24" s="3509"/>
      <c r="J24" s="1313" t="s">
        <v>3614</v>
      </c>
      <c r="K24" s="3487">
        <v>9</v>
      </c>
      <c r="L24" s="3488"/>
      <c r="M24" s="3488"/>
      <c r="N24" s="3488"/>
      <c r="O24" s="3505"/>
      <c r="P24" s="3506"/>
      <c r="Q24" s="163"/>
      <c r="R24" s="163"/>
    </row>
    <row r="25" spans="1:19" s="43" customFormat="1" ht="11.25" customHeight="1">
      <c r="A25" s="3507">
        <v>10</v>
      </c>
      <c r="B25" s="3508"/>
      <c r="C25" s="3508"/>
      <c r="D25" s="3508"/>
      <c r="E25" s="3509"/>
      <c r="F25" s="936"/>
      <c r="G25" s="3507">
        <v>10</v>
      </c>
      <c r="H25" s="3508"/>
      <c r="I25" s="3509"/>
      <c r="J25" s="936"/>
      <c r="K25" s="3487">
        <v>10</v>
      </c>
      <c r="L25" s="3488"/>
      <c r="M25" s="3488"/>
      <c r="N25" s="3488"/>
      <c r="O25" s="3505"/>
      <c r="P25" s="3506"/>
      <c r="Q25" s="163"/>
      <c r="R25" s="163"/>
    </row>
    <row r="26" spans="1:19" s="43" customFormat="1" ht="11.25" customHeight="1">
      <c r="A26" s="3507">
        <v>11</v>
      </c>
      <c r="B26" s="3508"/>
      <c r="C26" s="3508"/>
      <c r="D26" s="3508"/>
      <c r="E26" s="3509"/>
      <c r="F26" s="936"/>
      <c r="G26" s="3507">
        <v>11</v>
      </c>
      <c r="H26" s="3508"/>
      <c r="I26" s="3509"/>
      <c r="J26" s="1313" t="s">
        <v>3615</v>
      </c>
      <c r="K26" s="3507">
        <v>11</v>
      </c>
      <c r="L26" s="3508"/>
      <c r="M26" s="3508"/>
      <c r="N26" s="3509"/>
      <c r="O26" s="3505"/>
      <c r="P26" s="3506"/>
      <c r="Q26" s="163"/>
      <c r="R26" s="163"/>
    </row>
    <row r="27" spans="1:19" s="43" customFormat="1" ht="11.25" customHeight="1">
      <c r="A27" s="3517">
        <v>12</v>
      </c>
      <c r="B27" s="3518"/>
      <c r="C27" s="3518"/>
      <c r="D27" s="3518"/>
      <c r="E27" s="3519"/>
      <c r="F27" s="937"/>
      <c r="G27" s="3517">
        <v>12</v>
      </c>
      <c r="H27" s="3518"/>
      <c r="I27" s="3519"/>
      <c r="J27" s="937"/>
      <c r="K27" s="3517">
        <v>12</v>
      </c>
      <c r="L27" s="3518"/>
      <c r="M27" s="3518"/>
      <c r="N27" s="3519"/>
      <c r="O27" s="3515"/>
      <c r="P27" s="3516"/>
    </row>
    <row r="28" spans="1:19" s="44" customFormat="1" ht="11.25" customHeight="1">
      <c r="B28" s="1333"/>
      <c r="C28" s="1333"/>
      <c r="D28" s="1333"/>
      <c r="E28" s="3510" t="s">
        <v>4228</v>
      </c>
      <c r="F28" s="3512" t="s">
        <v>4540</v>
      </c>
      <c r="G28" s="3512"/>
      <c r="H28" s="3512"/>
      <c r="I28" s="3512"/>
      <c r="J28" s="3512"/>
      <c r="K28" s="3512"/>
      <c r="L28" s="3512"/>
      <c r="M28" s="3512"/>
      <c r="N28" s="3512"/>
      <c r="O28" s="3512"/>
      <c r="P28" s="3512"/>
      <c r="Q28" s="112"/>
      <c r="R28" s="391"/>
    </row>
    <row r="29" spans="1:19" s="43" customFormat="1" ht="10.5" customHeight="1">
      <c r="A29" s="303" t="s">
        <v>4200</v>
      </c>
      <c r="B29" s="1316" t="s">
        <v>4201</v>
      </c>
      <c r="C29" s="1316"/>
      <c r="D29" s="1316"/>
      <c r="E29" s="3511"/>
      <c r="F29" s="3513" t="s">
        <v>4227</v>
      </c>
      <c r="G29" s="3513"/>
      <c r="H29" s="3513"/>
      <c r="I29" s="3513"/>
      <c r="J29" s="3513"/>
      <c r="K29" s="3513"/>
      <c r="L29" s="3513"/>
      <c r="M29" s="3513"/>
      <c r="N29" s="3514"/>
      <c r="O29" s="3500">
        <f>SUM(O30:O41)</f>
        <v>0</v>
      </c>
      <c r="P29" s="3501"/>
      <c r="Q29" s="463"/>
      <c r="R29" s="163"/>
    </row>
    <row r="30" spans="1:19" s="43" customFormat="1" ht="10.5" customHeight="1">
      <c r="A30" s="1299" t="s">
        <v>750</v>
      </c>
      <c r="B30" s="1300" t="s">
        <v>4202</v>
      </c>
      <c r="C30" s="1301"/>
      <c r="D30" s="1302"/>
      <c r="E30" s="1358">
        <f>$O$57</f>
        <v>10</v>
      </c>
      <c r="F30" s="3444" t="str">
        <f>$A$63</f>
        <v xml:space="preserve">Applicant claims 10 points in this category for the following desirable activities/characteristics that are within a 1.5 mile walking/driving distance from the site: Publix Super Market, Columbus Public Library, Rigdon Road Elementary, Synovus Bank and the Columbus Fire &amp; EMS Station.  Desirables that are within a .5 mile walking/driving distance from the site are: Renal Associates, LLC, Chick-fil-A, New Testament Christian Center Church, United States Postal Service and Walgreens. See TAB 27 for details.    There are no undesirable activities/characteristics located within  1/4 th mile radius from the site.    </v>
      </c>
      <c r="G30" s="3445"/>
      <c r="H30" s="3445"/>
      <c r="I30" s="3445"/>
      <c r="J30" s="3445"/>
      <c r="K30" s="3445"/>
      <c r="L30" s="3445"/>
      <c r="M30" s="3445"/>
      <c r="N30" s="3446"/>
      <c r="O30" s="3536" t="s">
        <v>1746</v>
      </c>
      <c r="P30" s="3537"/>
      <c r="Q30" s="461"/>
      <c r="R30" s="163"/>
    </row>
    <row r="31" spans="1:19" s="43" customFormat="1" ht="10.5" customHeight="1">
      <c r="A31" s="1303" t="s">
        <v>1807</v>
      </c>
      <c r="B31" s="1033" t="s">
        <v>4203</v>
      </c>
      <c r="C31" s="1188"/>
      <c r="D31" s="1304"/>
      <c r="E31" s="1359">
        <f>$O$94</f>
        <v>3</v>
      </c>
      <c r="F31" s="3447" t="str">
        <f>$A$107</f>
        <v>Applicant is claiming 3 points for Exceptional Sustainable Building Certification.  Applicant commits to achieving 10 additional points over minimum in the Enterprise Foundation Green Communities certification program (following Enterprise Green Communities protocol under the guidance of an Enterprise Qualified TA provider).  A draft scoring sheet showing how  this project's score meets at least the minimum score required is located in TAB 29.  10 additional points over the minimum score would be 45 points and the scoring sheet reflects the anticipated score at 52 points.</v>
      </c>
      <c r="G31" s="3448"/>
      <c r="H31" s="3448"/>
      <c r="I31" s="3448"/>
      <c r="J31" s="3448"/>
      <c r="K31" s="3448"/>
      <c r="L31" s="3448"/>
      <c r="M31" s="3448"/>
      <c r="N31" s="3449"/>
      <c r="O31" s="3491"/>
      <c r="P31" s="3492"/>
      <c r="Q31" s="3596" t="str">
        <f>IF(OR($A$63="",$A$107="",$A$290="",$A$185="",$A$224="",$A$266="",$A$312="",$A$342="",$A$358="",$A$392="",$A$410="",$A$429=""),"Some Applicant Scoring Justification boxes are empty! Check to see if points claimed.","")</f>
        <v>Some Applicant Scoring Justification boxes are empty! Check to see if points claimed.</v>
      </c>
      <c r="R31" s="3597"/>
      <c r="S31" s="3597"/>
    </row>
    <row r="32" spans="1:19" s="43" customFormat="1" ht="10.5" customHeight="1">
      <c r="A32" s="1303" t="s">
        <v>780</v>
      </c>
      <c r="B32" s="1033" t="s">
        <v>4204</v>
      </c>
      <c r="C32" s="1188"/>
      <c r="D32" s="1304"/>
      <c r="E32" s="1359">
        <f>$O$153</f>
        <v>3</v>
      </c>
      <c r="F32" s="3447" t="str">
        <f>$A$185</f>
        <v>Applicant is taking points because Grayling Place is located in the attendance zone of Hardaway High School, a High Performing School in Muscogee County according to Georgia's performance evaluation system (CCRPI).  The school serves at least 3 grades per QAP requirements.   Applicant is also taking points here because the location of this site exceeds the mimimum jobs threhold by 50%.  See Tab 31 for school district map and letter.</v>
      </c>
      <c r="G32" s="3448"/>
      <c r="H32" s="3448"/>
      <c r="I32" s="3448"/>
      <c r="J32" s="3448"/>
      <c r="K32" s="3448"/>
      <c r="L32" s="3448"/>
      <c r="M32" s="3448"/>
      <c r="N32" s="3449"/>
      <c r="O32" s="3498" t="s">
        <v>2926</v>
      </c>
      <c r="P32" s="3499"/>
      <c r="Q32" s="3596"/>
      <c r="R32" s="3597"/>
      <c r="S32" s="3597"/>
    </row>
    <row r="33" spans="1:19" s="43" customFormat="1" ht="10.5" customHeight="1">
      <c r="A33" s="1303" t="s">
        <v>294</v>
      </c>
      <c r="B33" s="1033" t="s">
        <v>4205</v>
      </c>
      <c r="C33" s="1188"/>
      <c r="D33" s="1304"/>
      <c r="E33" s="1432">
        <f>$O$189</f>
        <v>0</v>
      </c>
      <c r="F33" s="3452">
        <f>$A$224</f>
        <v>0</v>
      </c>
      <c r="G33" s="3453"/>
      <c r="H33" s="3453"/>
      <c r="I33" s="3453"/>
      <c r="J33" s="3453"/>
      <c r="K33" s="3453"/>
      <c r="L33" s="3453"/>
      <c r="M33" s="3453"/>
      <c r="N33" s="3454"/>
      <c r="O33" s="3498" t="s">
        <v>2926</v>
      </c>
      <c r="P33" s="3499"/>
      <c r="Q33" s="3596"/>
      <c r="R33" s="3597"/>
      <c r="S33" s="3597"/>
    </row>
    <row r="34" spans="1:19" s="43" customFormat="1" ht="10.5" customHeight="1">
      <c r="A34" s="1309" t="s">
        <v>428</v>
      </c>
      <c r="B34" s="1310" t="s">
        <v>4206</v>
      </c>
      <c r="C34" s="1311"/>
      <c r="D34" s="1312"/>
      <c r="E34" s="1360" t="s">
        <v>1746</v>
      </c>
      <c r="F34" s="3495" t="str">
        <f>$A$266</f>
        <v>Applicant is not claiming points in this section.</v>
      </c>
      <c r="G34" s="3496"/>
      <c r="H34" s="3496"/>
      <c r="I34" s="3496"/>
      <c r="J34" s="3496"/>
      <c r="K34" s="3496"/>
      <c r="L34" s="3496"/>
      <c r="M34" s="3496"/>
      <c r="N34" s="3497"/>
      <c r="O34" s="3491"/>
      <c r="P34" s="3492"/>
      <c r="Q34" s="3596"/>
      <c r="R34" s="3597"/>
      <c r="S34" s="3597"/>
    </row>
    <row r="35" spans="1:19" s="43" customFormat="1" ht="10.5" customHeight="1">
      <c r="A35" s="1303" t="s">
        <v>365</v>
      </c>
      <c r="B35" s="1033" t="s">
        <v>3819</v>
      </c>
      <c r="C35" s="1188"/>
      <c r="D35" s="1304"/>
      <c r="E35" s="1359">
        <f>$O$286</f>
        <v>0</v>
      </c>
      <c r="F35" s="3447" t="str">
        <f>$A$290</f>
        <v xml:space="preserve">Applicant is not claiming points in this section.  </v>
      </c>
      <c r="G35" s="3448"/>
      <c r="H35" s="3448"/>
      <c r="I35" s="3448"/>
      <c r="J35" s="3448"/>
      <c r="K35" s="3448"/>
      <c r="L35" s="3448"/>
      <c r="M35" s="3448"/>
      <c r="N35" s="3449"/>
      <c r="O35" s="3491"/>
      <c r="P35" s="3492"/>
      <c r="Q35" s="3596"/>
      <c r="R35" s="3597"/>
      <c r="S35" s="3597"/>
    </row>
    <row r="36" spans="1:19" s="43" customFormat="1" ht="10.5" customHeight="1">
      <c r="A36" s="1303" t="s">
        <v>2268</v>
      </c>
      <c r="B36" s="1033" t="s">
        <v>4207</v>
      </c>
      <c r="C36" s="1188"/>
      <c r="D36" s="1304"/>
      <c r="E36" s="1360">
        <f>$O$337</f>
        <v>1</v>
      </c>
      <c r="F36" s="3447" t="str">
        <f>$A$342</f>
        <v>Applicant is claiming the Priority point on this application.  This is the only application in which Project Team members have a direct /indirect interest.</v>
      </c>
      <c r="G36" s="3448"/>
      <c r="H36" s="3448"/>
      <c r="I36" s="3448"/>
      <c r="J36" s="3448"/>
      <c r="K36" s="3448"/>
      <c r="L36" s="3448"/>
      <c r="M36" s="3448"/>
      <c r="N36" s="3449"/>
      <c r="O36" s="3491"/>
      <c r="P36" s="3492"/>
      <c r="Q36" s="3596"/>
      <c r="R36" s="3597"/>
      <c r="S36" s="3597"/>
    </row>
    <row r="37" spans="1:19" s="43" customFormat="1" ht="10.5" customHeight="1">
      <c r="A37" s="1303" t="s">
        <v>4516</v>
      </c>
      <c r="B37" s="1033" t="s">
        <v>4517</v>
      </c>
      <c r="C37" s="1188"/>
      <c r="D37" s="1304"/>
      <c r="E37" s="1360">
        <f>$O$294</f>
        <v>3</v>
      </c>
      <c r="F37" s="3452" t="str">
        <f>$A$312</f>
        <v>Applicant is taking points in this section because Grayling Place is not within a 1-mile radius of a 9% Georgia Housing Credit development that has received an award in the last six (6) DCA competitive funding cycles.</v>
      </c>
      <c r="G37" s="3453"/>
      <c r="H37" s="3453"/>
      <c r="I37" s="3453"/>
      <c r="J37" s="3453"/>
      <c r="K37" s="3453"/>
      <c r="L37" s="3453"/>
      <c r="M37" s="3453"/>
      <c r="N37" s="3454"/>
      <c r="O37" s="3491"/>
      <c r="P37" s="3492"/>
      <c r="Q37" s="3596"/>
      <c r="R37" s="3597"/>
      <c r="S37" s="3597"/>
    </row>
    <row r="38" spans="1:19" s="43" customFormat="1" ht="10.5" customHeight="1">
      <c r="A38" s="1309" t="s">
        <v>4153</v>
      </c>
      <c r="B38" s="1310" t="s">
        <v>4208</v>
      </c>
      <c r="C38" s="1311"/>
      <c r="D38" s="1312"/>
      <c r="E38" s="1431">
        <f>$O$346</f>
        <v>0</v>
      </c>
      <c r="F38" s="3495" t="str">
        <f>$A$358</f>
        <v>Applicant is not claiming points in this section.</v>
      </c>
      <c r="G38" s="3496"/>
      <c r="H38" s="3496"/>
      <c r="I38" s="3496"/>
      <c r="J38" s="3496"/>
      <c r="K38" s="3496"/>
      <c r="L38" s="3496"/>
      <c r="M38" s="3496"/>
      <c r="N38" s="3497"/>
      <c r="O38" s="3491"/>
      <c r="P38" s="3492"/>
      <c r="Q38" s="3596"/>
      <c r="R38" s="3597"/>
      <c r="S38" s="3597"/>
    </row>
    <row r="39" spans="1:19" s="43" customFormat="1" ht="10.5" customHeight="1">
      <c r="A39" s="1303" t="s">
        <v>4154</v>
      </c>
      <c r="B39" s="1033" t="s">
        <v>4209</v>
      </c>
      <c r="C39" s="1188"/>
      <c r="D39" s="1304"/>
      <c r="E39" s="1359">
        <f>$O$362</f>
        <v>0</v>
      </c>
      <c r="F39" s="3447" t="str">
        <f>$A$392</f>
        <v>Applicant is not claiming points in this section.</v>
      </c>
      <c r="G39" s="3448"/>
      <c r="H39" s="3448"/>
      <c r="I39" s="3448"/>
      <c r="J39" s="3448"/>
      <c r="K39" s="3448"/>
      <c r="L39" s="3448"/>
      <c r="M39" s="3448"/>
      <c r="N39" s="3449"/>
      <c r="O39" s="3491"/>
      <c r="P39" s="3492"/>
      <c r="Q39" s="3596"/>
      <c r="R39" s="3597"/>
      <c r="S39" s="3597"/>
    </row>
    <row r="40" spans="1:19" s="43" customFormat="1" ht="10.5" customHeight="1">
      <c r="A40" s="1303" t="s">
        <v>4152</v>
      </c>
      <c r="B40" s="1033" t="s">
        <v>4210</v>
      </c>
      <c r="C40" s="1188"/>
      <c r="D40" s="1304"/>
      <c r="E40" s="1359">
        <f>$O$396</f>
        <v>2</v>
      </c>
      <c r="F40" s="3447" t="str">
        <f>$A$410</f>
        <v>Applicant agrees to accept Section 811 project based rental assistance or other DCA offered rental assistance for up to 10% of the units for the purpose of providing integrated housing opportunities to persons with disabilities. Applicant is eligible for these points because at 10% of the low-income units in the Application are one bedroom units.  The Applicant is willing to accept Assistance set for 50% AMI tenants.</v>
      </c>
      <c r="G40" s="3448"/>
      <c r="H40" s="3448"/>
      <c r="I40" s="3448"/>
      <c r="J40" s="3448"/>
      <c r="K40" s="3448"/>
      <c r="L40" s="3448"/>
      <c r="M40" s="3448"/>
      <c r="N40" s="3449"/>
      <c r="O40" s="3491"/>
      <c r="P40" s="3492"/>
      <c r="Q40" s="3596"/>
      <c r="R40" s="3597"/>
      <c r="S40" s="3597"/>
    </row>
    <row r="41" spans="1:19" s="43" customFormat="1" ht="10.5" customHeight="1">
      <c r="A41" s="1305" t="s">
        <v>4155</v>
      </c>
      <c r="B41" s="1306" t="s">
        <v>4211</v>
      </c>
      <c r="C41" s="1307"/>
      <c r="D41" s="1308"/>
      <c r="E41" s="1361">
        <f>$O$414</f>
        <v>0</v>
      </c>
      <c r="F41" s="3502" t="str">
        <f>$A$429</f>
        <v>Applicant is not claiming points in this section.</v>
      </c>
      <c r="G41" s="3503"/>
      <c r="H41" s="3503"/>
      <c r="I41" s="3503"/>
      <c r="J41" s="3503"/>
      <c r="K41" s="3503"/>
      <c r="L41" s="3503"/>
      <c r="M41" s="3503"/>
      <c r="N41" s="3504"/>
      <c r="O41" s="3493"/>
      <c r="P41" s="3494"/>
      <c r="Q41" s="3596"/>
      <c r="R41" s="3597"/>
      <c r="S41" s="3597"/>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3450" t="s">
        <v>3617</v>
      </c>
      <c r="I45" s="3450"/>
      <c r="J45" s="966">
        <f>'Part VI-Revenues &amp; Expenses'!$O$60</f>
        <v>84</v>
      </c>
      <c r="K45" s="965"/>
      <c r="M45" s="941"/>
      <c r="N45" s="7"/>
      <c r="Q45" s="7"/>
      <c r="R45" s="391"/>
    </row>
    <row r="46" spans="1:19" s="105" customFormat="1" ht="13.5" customHeight="1">
      <c r="A46" s="143"/>
      <c r="B46" s="3451" t="s">
        <v>3618</v>
      </c>
      <c r="C46" s="3451"/>
      <c r="D46" s="3451"/>
      <c r="E46" s="3451"/>
      <c r="F46" s="3451"/>
      <c r="G46" s="934"/>
      <c r="H46" s="1093" t="s">
        <v>3619</v>
      </c>
      <c r="I46" s="1093" t="s">
        <v>3620</v>
      </c>
      <c r="J46" s="934"/>
      <c r="K46" s="3157" t="s">
        <v>3397</v>
      </c>
      <c r="L46" s="3157"/>
      <c r="M46" s="941"/>
      <c r="N46" s="7"/>
      <c r="Q46" s="7"/>
      <c r="R46" s="391"/>
    </row>
    <row r="47" spans="1:19" s="105" customFormat="1" ht="13.5" customHeight="1">
      <c r="B47" s="3451"/>
      <c r="C47" s="3451"/>
      <c r="D47" s="3451"/>
      <c r="E47" s="3451"/>
      <c r="F47" s="3451"/>
      <c r="G47" s="3155" t="s">
        <v>3744</v>
      </c>
      <c r="H47" s="3155"/>
      <c r="I47" s="3155"/>
      <c r="J47" s="3155"/>
      <c r="K47" s="969" t="s">
        <v>3619</v>
      </c>
      <c r="L47" s="969" t="s">
        <v>3620</v>
      </c>
      <c r="M47" s="955">
        <v>2</v>
      </c>
      <c r="N47" s="404" t="s">
        <v>2000</v>
      </c>
      <c r="O47" s="972">
        <f>SUM(O48:O49)</f>
        <v>2</v>
      </c>
      <c r="P47" s="972">
        <f>SUM(P48:P49)</f>
        <v>0</v>
      </c>
    </row>
    <row r="48" spans="1:19" s="441" customFormat="1" ht="13.5" customHeight="1">
      <c r="A48" s="440"/>
      <c r="B48" s="611" t="s">
        <v>2003</v>
      </c>
      <c r="C48" s="612">
        <v>0.15</v>
      </c>
      <c r="D48" s="144" t="s">
        <v>3396</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3367</v>
      </c>
      <c r="B49" s="611" t="s">
        <v>2005</v>
      </c>
      <c r="C49" s="612">
        <v>0.2</v>
      </c>
      <c r="D49" s="144" t="s">
        <v>3396</v>
      </c>
      <c r="H49" s="2190">
        <v>17</v>
      </c>
      <c r="I49" s="1348"/>
      <c r="K49" s="1094">
        <f>IF(OR('Part VI-Revenues &amp; Expenses'!$O$60="", 'Part VI-Revenues &amp; Expenses'!$O$60=0),0,H49/'Part VI-Revenues &amp; Expenses'!$O$60)</f>
        <v>0.20238095238095238</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3677</v>
      </c>
      <c r="E51" s="442"/>
      <c r="H51" s="3155" t="s">
        <v>3679</v>
      </c>
      <c r="I51" s="3155"/>
      <c r="M51" s="955">
        <v>3</v>
      </c>
      <c r="N51" s="166" t="s">
        <v>2002</v>
      </c>
      <c r="O51" s="972">
        <f>IF(AND(O52="Yes", O53="Yes"),$M$51,0)</f>
        <v>0</v>
      </c>
      <c r="P51" s="972">
        <f>IF(AND(P52="Yes", P53="Yes"),$M$51,0)</f>
        <v>0</v>
      </c>
    </row>
    <row r="52" spans="1:18" s="441" customFormat="1" ht="13.5" customHeight="1">
      <c r="A52" s="440"/>
      <c r="B52" s="611" t="s">
        <v>2003</v>
      </c>
      <c r="C52" s="612">
        <v>0.3</v>
      </c>
      <c r="D52" s="144" t="s">
        <v>3678</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3994</v>
      </c>
      <c r="E53" s="1006"/>
      <c r="F53" s="938"/>
      <c r="I53" s="970"/>
      <c r="J53" s="970"/>
      <c r="K53" s="970"/>
      <c r="L53" s="970"/>
      <c r="M53" s="970"/>
      <c r="N53" s="404" t="s">
        <v>2005</v>
      </c>
      <c r="O53" s="2192" t="s">
        <v>3015</v>
      </c>
      <c r="P53" s="563"/>
    </row>
    <row r="54" spans="1:18" s="44" customFormat="1" ht="10.5" customHeight="1">
      <c r="A54" s="43"/>
      <c r="B54" s="100" t="s">
        <v>1881</v>
      </c>
      <c r="C54" s="441"/>
      <c r="D54" s="88"/>
      <c r="E54" s="1588"/>
      <c r="F54" s="1588"/>
      <c r="G54" s="1588"/>
      <c r="H54" s="1588"/>
      <c r="I54" s="1588"/>
      <c r="J54" s="1588"/>
      <c r="K54" s="1588"/>
      <c r="L54" s="1588"/>
      <c r="M54" s="1588"/>
      <c r="N54" s="77"/>
      <c r="O54" s="73"/>
      <c r="P54" s="1585"/>
      <c r="Q54" s="441"/>
    </row>
    <row r="55" spans="1:18" s="44" customFormat="1" ht="11.25" customHeight="1">
      <c r="A55" s="3093"/>
      <c r="B55" s="3094"/>
      <c r="C55" s="3094"/>
      <c r="D55" s="3094"/>
      <c r="E55" s="3094"/>
      <c r="F55" s="3094"/>
      <c r="G55" s="3094"/>
      <c r="H55" s="3094"/>
      <c r="I55" s="3094"/>
      <c r="J55" s="3094"/>
      <c r="K55" s="3094"/>
      <c r="L55" s="3094"/>
      <c r="M55" s="3094"/>
      <c r="N55" s="3094"/>
      <c r="O55" s="3094"/>
      <c r="P55" s="3095"/>
      <c r="Q55" s="461"/>
    </row>
    <row r="56" spans="1:18" ht="3" customHeight="1" thickBot="1"/>
    <row r="57" spans="1:18" s="44" customFormat="1" ht="12.6" customHeight="1" thickBot="1">
      <c r="A57" s="158" t="s">
        <v>750</v>
      </c>
      <c r="B57" s="108" t="s">
        <v>4148</v>
      </c>
      <c r="D57" s="42"/>
      <c r="I57" s="3058" t="s">
        <v>3797</v>
      </c>
      <c r="J57" s="3058"/>
      <c r="K57" s="3058"/>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193" t="s">
        <v>3012</v>
      </c>
      <c r="P59" s="561"/>
    </row>
    <row r="60" spans="1:18" s="44" customFormat="1" ht="12" customHeight="1">
      <c r="A60" s="143" t="s">
        <v>2000</v>
      </c>
      <c r="B60" s="172" t="s">
        <v>1889</v>
      </c>
      <c r="C60" s="4"/>
      <c r="D60" s="4"/>
      <c r="F60" s="307"/>
      <c r="G60" s="179" t="s">
        <v>2738</v>
      </c>
      <c r="I60" s="3489" t="s">
        <v>4230</v>
      </c>
      <c r="J60" s="3489"/>
      <c r="K60" s="3489"/>
      <c r="L60" s="3489"/>
      <c r="M60" s="75">
        <v>10</v>
      </c>
      <c r="N60" s="181" t="s">
        <v>2000</v>
      </c>
      <c r="O60" s="2194">
        <v>10</v>
      </c>
      <c r="P60" s="1076"/>
      <c r="Q60" s="1090" t="str">
        <f>IF(OR($O60=$M60,$O60=0,$O60=""),"","*CHECK!*")</f>
        <v/>
      </c>
      <c r="R60" s="1244" t="s">
        <v>2726</v>
      </c>
    </row>
    <row r="61" spans="1:18" s="44" customFormat="1" ht="12.6" customHeight="1">
      <c r="A61" s="143" t="s">
        <v>2002</v>
      </c>
      <c r="B61" s="172" t="s">
        <v>3874</v>
      </c>
      <c r="D61" s="42"/>
      <c r="F61" s="407"/>
      <c r="G61" s="179" t="s">
        <v>4026</v>
      </c>
      <c r="I61" s="3489"/>
      <c r="J61" s="3489"/>
      <c r="K61" s="3489"/>
      <c r="L61" s="3489"/>
      <c r="M61" s="1597" t="s">
        <v>1250</v>
      </c>
      <c r="N61" s="484" t="s">
        <v>2002</v>
      </c>
      <c r="O61" s="2195">
        <v>0</v>
      </c>
      <c r="P61" s="1218"/>
      <c r="R61" s="1244" t="s">
        <v>2726</v>
      </c>
    </row>
    <row r="62" spans="1:18" s="44" customFormat="1" ht="11.25" customHeight="1" thickBot="1">
      <c r="A62" s="43"/>
      <c r="B62" s="1332" t="s">
        <v>3782</v>
      </c>
      <c r="C62" s="43"/>
      <c r="D62" s="49"/>
      <c r="E62" s="49"/>
      <c r="F62" s="49"/>
      <c r="G62" s="49"/>
      <c r="H62" s="37"/>
      <c r="I62" s="3490"/>
      <c r="J62" s="3490"/>
      <c r="K62" s="3490"/>
      <c r="L62" s="3490"/>
      <c r="M62" s="47"/>
      <c r="N62" s="63"/>
      <c r="O62" s="3"/>
      <c r="P62" s="1587"/>
    </row>
    <row r="63" spans="1:18" s="44" customFormat="1" ht="48.75" customHeight="1" thickTop="1" thickBot="1">
      <c r="A63" s="3380" t="s">
        <v>4717</v>
      </c>
      <c r="B63" s="3381"/>
      <c r="C63" s="3381"/>
      <c r="D63" s="3381"/>
      <c r="E63" s="3381"/>
      <c r="F63" s="3381"/>
      <c r="G63" s="3381"/>
      <c r="H63" s="3381"/>
      <c r="I63" s="3381"/>
      <c r="J63" s="3381"/>
      <c r="K63" s="3381"/>
      <c r="L63" s="3381"/>
      <c r="M63" s="3381"/>
      <c r="N63" s="3381"/>
      <c r="O63" s="3381"/>
      <c r="P63" s="3382"/>
      <c r="Q63" s="1174" t="s">
        <v>1266</v>
      </c>
      <c r="R63" s="462"/>
    </row>
    <row r="64" spans="1:18" s="44" customFormat="1" ht="11.45" customHeight="1" thickTop="1">
      <c r="A64" s="43"/>
      <c r="B64" s="69" t="s">
        <v>1881</v>
      </c>
      <c r="C64" s="43"/>
      <c r="D64" s="141"/>
      <c r="E64" s="1588"/>
      <c r="F64" s="1588"/>
      <c r="G64" s="1588"/>
      <c r="H64" s="1588"/>
      <c r="I64" s="1588"/>
      <c r="J64" s="1588"/>
      <c r="K64" s="1588"/>
      <c r="L64" s="1588"/>
      <c r="M64" s="1588"/>
      <c r="N64" s="77"/>
      <c r="O64" s="73"/>
      <c r="P64" s="1585"/>
      <c r="Q64" s="441"/>
      <c r="R64" s="441"/>
    </row>
    <row r="65" spans="1:21" s="44" customFormat="1" ht="11.25" customHeight="1">
      <c r="A65" s="3093"/>
      <c r="B65" s="3094"/>
      <c r="C65" s="3094"/>
      <c r="D65" s="3094"/>
      <c r="E65" s="3094"/>
      <c r="F65" s="3094"/>
      <c r="G65" s="3094"/>
      <c r="H65" s="3094"/>
      <c r="I65" s="3094"/>
      <c r="J65" s="3094"/>
      <c r="K65" s="3094"/>
      <c r="L65" s="3094"/>
      <c r="M65" s="3094"/>
      <c r="N65" s="3094"/>
      <c r="O65" s="3094"/>
      <c r="P65" s="3095"/>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5">
        <v>6</v>
      </c>
      <c r="N67" s="484"/>
      <c r="O67" s="1194">
        <f>IF($J$68="Flexible",MIN($M67,MAX(O80,O84)),IF(AND($J$68="Rural",O89&gt;0),MIN($M89,O89),0))</f>
        <v>3</v>
      </c>
      <c r="P67" s="1194">
        <f>IF($J$68="Flexible",MIN($M67,MAX(P80,P84)),IF(AND($J$68="Rural",P89&gt;0),MIN($M89,P89),0))</f>
        <v>0</v>
      </c>
      <c r="Q67" s="112" t="s">
        <v>443</v>
      </c>
      <c r="R67" s="3265" t="s">
        <v>4138</v>
      </c>
      <c r="S67" s="3265"/>
      <c r="T67" s="3265"/>
      <c r="U67" s="3265"/>
    </row>
    <row r="68" spans="1:21" s="44" customFormat="1" ht="17.25" customHeight="1">
      <c r="A68" s="158"/>
      <c r="B68" s="113" t="s">
        <v>3997</v>
      </c>
      <c r="D68" s="42"/>
      <c r="H68" s="172" t="s">
        <v>2814</v>
      </c>
      <c r="I68" s="539"/>
      <c r="J68" s="537" t="str">
        <f>'Part I-Project Information'!$H$100</f>
        <v>Flexible</v>
      </c>
      <c r="K68" s="49"/>
      <c r="M68" s="1585"/>
      <c r="N68" s="484"/>
      <c r="O68" s="1085" t="s">
        <v>3622</v>
      </c>
      <c r="P68" s="1085" t="s">
        <v>3623</v>
      </c>
      <c r="Q68" s="112"/>
      <c r="R68" s="3265"/>
      <c r="S68" s="3265"/>
      <c r="T68" s="3265"/>
      <c r="U68" s="3265"/>
    </row>
    <row r="69" spans="1:21" s="44" customFormat="1" ht="11.25" customHeight="1">
      <c r="A69" s="158"/>
      <c r="B69" s="499" t="s">
        <v>2003</v>
      </c>
      <c r="C69" s="56" t="s">
        <v>3621</v>
      </c>
      <c r="D69" s="42"/>
      <c r="H69" s="46"/>
      <c r="I69" s="50"/>
      <c r="J69" s="49"/>
      <c r="K69" s="49"/>
      <c r="M69" s="1585"/>
      <c r="N69" s="484"/>
      <c r="O69" s="2193"/>
      <c r="P69" s="561"/>
      <c r="Q69" s="112"/>
      <c r="R69" s="3265"/>
      <c r="S69" s="3265"/>
      <c r="T69" s="3265"/>
      <c r="U69" s="3265"/>
    </row>
    <row r="70" spans="1:21" s="44" customFormat="1" ht="11.25" customHeight="1">
      <c r="A70" s="158"/>
      <c r="B70" s="499" t="s">
        <v>2005</v>
      </c>
      <c r="C70" s="56" t="s">
        <v>3995</v>
      </c>
      <c r="D70" s="42"/>
      <c r="H70" s="46"/>
      <c r="I70" s="50"/>
      <c r="J70" s="49"/>
      <c r="K70" s="49"/>
      <c r="N70" s="484"/>
      <c r="O70" s="2196"/>
      <c r="P70" s="562"/>
      <c r="Q70" s="112"/>
      <c r="R70" s="3265"/>
      <c r="S70" s="3265"/>
      <c r="T70" s="3265"/>
      <c r="U70" s="3265"/>
    </row>
    <row r="71" spans="1:21" s="44" customFormat="1" ht="11.25" customHeight="1">
      <c r="A71" s="158"/>
      <c r="B71" s="499" t="s">
        <v>2552</v>
      </c>
      <c r="C71" s="56" t="s">
        <v>3996</v>
      </c>
      <c r="D71" s="42"/>
      <c r="H71" s="46"/>
      <c r="I71" s="50"/>
      <c r="J71" s="49"/>
      <c r="K71" s="49"/>
      <c r="N71" s="484"/>
      <c r="O71" s="2192"/>
      <c r="P71" s="563"/>
      <c r="Q71" s="112"/>
      <c r="R71" s="3265"/>
      <c r="S71" s="3265"/>
      <c r="T71" s="3265"/>
      <c r="U71" s="3265"/>
    </row>
    <row r="72" spans="1:21" s="44" customFormat="1" ht="3" customHeight="1">
      <c r="A72" s="158"/>
      <c r="B72" s="108"/>
      <c r="D72" s="42"/>
      <c r="H72" s="46"/>
      <c r="I72" s="50"/>
      <c r="J72" s="49"/>
      <c r="K72" s="49"/>
      <c r="M72" s="1585"/>
      <c r="N72" s="484"/>
      <c r="O72" s="3"/>
      <c r="P72" s="3"/>
      <c r="Q72" s="112"/>
      <c r="R72" s="3265"/>
      <c r="S72" s="3265"/>
      <c r="T72" s="3265"/>
      <c r="U72" s="3265"/>
    </row>
    <row r="73" spans="1:21" s="44" customFormat="1" ht="13.5" customHeight="1">
      <c r="A73" s="158"/>
      <c r="B73" s="113" t="s">
        <v>4004</v>
      </c>
      <c r="D73" s="42"/>
      <c r="F73" s="3574" t="s">
        <v>3745</v>
      </c>
      <c r="G73" s="3574"/>
      <c r="H73" s="3574"/>
      <c r="I73" s="3574"/>
      <c r="J73" s="3574" t="s">
        <v>3746</v>
      </c>
      <c r="K73" s="3574"/>
      <c r="L73" s="3574"/>
      <c r="M73" s="3574"/>
      <c r="N73" s="484"/>
      <c r="O73" s="3589" t="s">
        <v>4145</v>
      </c>
      <c r="P73" s="3590"/>
      <c r="Q73" s="112"/>
      <c r="R73" s="3265"/>
      <c r="S73" s="3265"/>
      <c r="T73" s="3265"/>
      <c r="U73" s="3265"/>
    </row>
    <row r="74" spans="1:21" s="44" customFormat="1" ht="12.75" customHeight="1">
      <c r="A74" s="158"/>
      <c r="C74" s="512" t="s">
        <v>4003</v>
      </c>
      <c r="D74" s="649"/>
      <c r="E74" s="278"/>
      <c r="F74" s="3592">
        <v>32.473201000000003</v>
      </c>
      <c r="G74" s="3593"/>
      <c r="H74" s="3594"/>
      <c r="I74" s="3595"/>
      <c r="J74" s="3592">
        <v>-84.954791999999998</v>
      </c>
      <c r="K74" s="3593"/>
      <c r="L74" s="3594"/>
      <c r="M74" s="3595"/>
      <c r="N74" s="484"/>
      <c r="Q74" s="112"/>
      <c r="R74" s="3265"/>
      <c r="S74" s="3265"/>
      <c r="T74" s="3265"/>
      <c r="U74" s="3265"/>
    </row>
    <row r="75" spans="1:21" s="44" customFormat="1" ht="12.75" customHeight="1">
      <c r="B75" s="1187"/>
      <c r="D75" s="1272" t="s">
        <v>4005</v>
      </c>
      <c r="E75" s="278"/>
      <c r="F75" s="3461">
        <v>32.473880999999999</v>
      </c>
      <c r="G75" s="3462"/>
      <c r="H75" s="3463"/>
      <c r="I75" s="3464"/>
      <c r="J75" s="3461">
        <v>-84.952663000000001</v>
      </c>
      <c r="K75" s="3462"/>
      <c r="L75" s="3463"/>
      <c r="M75" s="3464"/>
      <c r="N75" s="484"/>
      <c r="O75" s="2197">
        <v>0.2</v>
      </c>
      <c r="P75" s="1281"/>
      <c r="Q75" s="112"/>
      <c r="R75" s="3265"/>
      <c r="S75" s="3265"/>
      <c r="T75" s="3265"/>
      <c r="U75" s="3265"/>
    </row>
    <row r="76" spans="1:21" s="44" customFormat="1" ht="12.75" customHeight="1">
      <c r="A76" s="3598" t="s">
        <v>4195</v>
      </c>
      <c r="B76" s="3598"/>
      <c r="C76" s="512" t="s">
        <v>4146</v>
      </c>
      <c r="D76" s="649"/>
      <c r="E76" s="278"/>
      <c r="F76" s="3559">
        <v>32.473880999999999</v>
      </c>
      <c r="G76" s="3560"/>
      <c r="H76" s="3469"/>
      <c r="I76" s="3470"/>
      <c r="J76" s="3559">
        <v>-84.952663000000001</v>
      </c>
      <c r="K76" s="3560"/>
      <c r="L76" s="3469"/>
      <c r="M76" s="3470"/>
      <c r="N76" s="484"/>
      <c r="O76" s="2198">
        <v>0.05</v>
      </c>
      <c r="P76" s="1280"/>
      <c r="Q76" s="112"/>
      <c r="R76" s="3265"/>
      <c r="S76" s="3265"/>
      <c r="T76" s="3265"/>
      <c r="U76" s="3265"/>
    </row>
    <row r="77" spans="1:21" s="44" customFormat="1" ht="12.75" customHeight="1">
      <c r="A77" s="3598"/>
      <c r="B77" s="3598"/>
      <c r="D77" s="1272" t="s">
        <v>4144</v>
      </c>
      <c r="E77" s="278"/>
      <c r="F77" s="3561"/>
      <c r="G77" s="3562"/>
      <c r="H77" s="3572"/>
      <c r="I77" s="3573"/>
      <c r="J77" s="3561"/>
      <c r="K77" s="3562"/>
      <c r="L77" s="3572"/>
      <c r="M77" s="3573"/>
      <c r="N77" s="484"/>
      <c r="O77" s="2199"/>
      <c r="P77" s="1279"/>
      <c r="Q77" s="112"/>
      <c r="R77" s="3265"/>
      <c r="S77" s="3265"/>
      <c r="T77" s="3265"/>
      <c r="U77" s="3265"/>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2805</v>
      </c>
      <c r="B79" s="108"/>
      <c r="D79" s="42"/>
      <c r="F79" s="62" t="s">
        <v>3783</v>
      </c>
      <c r="M79" s="1585"/>
      <c r="N79" s="1585"/>
      <c r="O79" s="1585"/>
      <c r="P79" s="1585"/>
      <c r="Q79" s="112"/>
      <c r="R79" s="1219"/>
      <c r="S79" s="1219"/>
      <c r="T79" s="1219"/>
      <c r="U79" s="1219"/>
    </row>
    <row r="80" spans="1:21" s="44" customFormat="1" ht="12.6" customHeight="1">
      <c r="A80" s="148" t="s">
        <v>2000</v>
      </c>
      <c r="B80" s="172" t="s">
        <v>3775</v>
      </c>
      <c r="D80" s="42"/>
      <c r="F80" s="46" t="s">
        <v>3887</v>
      </c>
      <c r="I80" s="3591" t="s">
        <v>4142</v>
      </c>
      <c r="J80" s="3591"/>
      <c r="K80" s="3591"/>
      <c r="L80" s="3591"/>
      <c r="M80" s="1585">
        <v>6</v>
      </c>
      <c r="N80" s="404" t="s">
        <v>2000</v>
      </c>
      <c r="O80" s="1088">
        <f>IF($J$68="Flexible",MIN($M80,O81+O82+O83),0)</f>
        <v>0</v>
      </c>
      <c r="P80" s="1088">
        <f>IF($J$68="Flexible",MIN($M80,P81+P82+P83),0)</f>
        <v>0</v>
      </c>
      <c r="Q80" s="112"/>
    </row>
    <row r="81" spans="1:18" s="427" customFormat="1" ht="23.25" customHeight="1">
      <c r="B81" s="456" t="s">
        <v>2003</v>
      </c>
      <c r="C81" s="3092" t="s">
        <v>3998</v>
      </c>
      <c r="D81" s="3092"/>
      <c r="E81" s="3092"/>
      <c r="F81" s="3092"/>
      <c r="G81" s="3092"/>
      <c r="H81" s="3092"/>
      <c r="I81" s="3591"/>
      <c r="J81" s="3591"/>
      <c r="K81" s="3591"/>
      <c r="L81" s="3591"/>
      <c r="M81" s="534">
        <v>5</v>
      </c>
      <c r="N81" s="499" t="s">
        <v>2003</v>
      </c>
      <c r="O81" s="2200"/>
      <c r="P81" s="913"/>
      <c r="Q81" s="1090" t="str">
        <f>IF(OR($O81=$M81,$O81=0,$O81=""),"","*CHECK!*")</f>
        <v/>
      </c>
      <c r="R81" s="1244" t="s">
        <v>2726</v>
      </c>
    </row>
    <row r="82" spans="1:18" s="427" customFormat="1" ht="12" customHeight="1">
      <c r="A82" s="619" t="s">
        <v>1365</v>
      </c>
      <c r="B82" s="456" t="s">
        <v>2005</v>
      </c>
      <c r="C82" s="405" t="s">
        <v>3999</v>
      </c>
      <c r="D82" s="405"/>
      <c r="E82" s="405"/>
      <c r="F82" s="405"/>
      <c r="G82" s="405"/>
      <c r="H82" s="405"/>
      <c r="I82" s="3591"/>
      <c r="J82" s="3591"/>
      <c r="K82" s="3591"/>
      <c r="L82" s="3591"/>
      <c r="M82" s="534">
        <v>4</v>
      </c>
      <c r="N82" s="499" t="s">
        <v>2005</v>
      </c>
      <c r="O82" s="2194"/>
      <c r="P82" s="1076"/>
      <c r="Q82" s="1090" t="str">
        <f t="shared" ref="Q82:Q83" si="0">IF(OR($O82=$M82,$O82=0,$O82=""),"","*CHECK!*")</f>
        <v/>
      </c>
      <c r="R82" s="1244" t="s">
        <v>2726</v>
      </c>
    </row>
    <row r="83" spans="1:18" s="427" customFormat="1" ht="12" customHeight="1">
      <c r="B83" s="456" t="s">
        <v>2552</v>
      </c>
      <c r="C83" s="405" t="s">
        <v>3776</v>
      </c>
      <c r="D83" s="405"/>
      <c r="E83" s="405"/>
      <c r="F83" s="405"/>
      <c r="G83" s="484" t="s">
        <v>4143</v>
      </c>
      <c r="H83" s="1278" t="str">
        <f>'Part I-Project Information'!$H$78</f>
        <v>Family</v>
      </c>
      <c r="I83" s="3551" t="s">
        <v>4580</v>
      </c>
      <c r="J83" s="3552"/>
      <c r="K83" s="3552"/>
      <c r="L83" s="3555" t="s">
        <v>4581</v>
      </c>
      <c r="M83" s="534">
        <v>1</v>
      </c>
      <c r="N83" s="499" t="s">
        <v>2552</v>
      </c>
      <c r="O83" s="2195"/>
      <c r="P83" s="1218"/>
      <c r="Q83" s="1090" t="str">
        <f t="shared" si="0"/>
        <v/>
      </c>
      <c r="R83" s="1244" t="s">
        <v>2726</v>
      </c>
    </row>
    <row r="84" spans="1:18" s="427" customFormat="1" ht="12" customHeight="1">
      <c r="A84" s="148" t="s">
        <v>2002</v>
      </c>
      <c r="B84" s="1243" t="s">
        <v>3777</v>
      </c>
      <c r="C84" s="677"/>
      <c r="D84" s="677"/>
      <c r="E84" s="677"/>
      <c r="F84" s="1213" t="s">
        <v>3886</v>
      </c>
      <c r="I84" s="3553"/>
      <c r="J84" s="3554"/>
      <c r="K84" s="3554"/>
      <c r="L84" s="3556"/>
      <c r="M84" s="1034">
        <v>3</v>
      </c>
      <c r="N84" s="166" t="s">
        <v>2002</v>
      </c>
      <c r="O84" s="1088">
        <f>IF($J$68="Flexible",MIN($M84,O85+O86+O87),0)</f>
        <v>3</v>
      </c>
      <c r="P84" s="1088">
        <f>IF($J$68="Flexible",MIN($M84,P85+P86+P87),0)</f>
        <v>0</v>
      </c>
      <c r="Q84" s="535"/>
      <c r="R84" s="403"/>
    </row>
    <row r="85" spans="1:18" s="427" customFormat="1" ht="12" customHeight="1">
      <c r="A85" s="143"/>
      <c r="B85" s="456" t="s">
        <v>2003</v>
      </c>
      <c r="C85" s="3388" t="s">
        <v>4000</v>
      </c>
      <c r="D85" s="3388"/>
      <c r="E85" s="3388"/>
      <c r="F85" s="3388"/>
      <c r="G85" s="3388"/>
      <c r="H85" s="3558"/>
      <c r="I85" s="3563" t="s">
        <v>4579</v>
      </c>
      <c r="J85" s="3564"/>
      <c r="K85" s="3564"/>
      <c r="L85" s="3565"/>
      <c r="M85" s="534">
        <v>3</v>
      </c>
      <c r="N85" s="499" t="s">
        <v>2003</v>
      </c>
      <c r="O85" s="2200">
        <v>3</v>
      </c>
      <c r="P85" s="913"/>
      <c r="Q85" s="1090" t="str">
        <f>IF(OR($O85=$M85,$O85=0,$O85=""),"","*CHECK!*")</f>
        <v/>
      </c>
      <c r="R85" s="1244" t="s">
        <v>2726</v>
      </c>
    </row>
    <row r="86" spans="1:18" s="44" customFormat="1" ht="12" customHeight="1">
      <c r="A86" s="1214" t="s">
        <v>1365</v>
      </c>
      <c r="B86" s="456" t="s">
        <v>2005</v>
      </c>
      <c r="C86" s="3388" t="s">
        <v>4001</v>
      </c>
      <c r="D86" s="3388"/>
      <c r="E86" s="3388"/>
      <c r="F86" s="3388"/>
      <c r="G86" s="3388"/>
      <c r="H86" s="3558"/>
      <c r="I86" s="3566"/>
      <c r="J86" s="3567"/>
      <c r="K86" s="3567"/>
      <c r="L86" s="3568"/>
      <c r="M86" s="534">
        <v>2</v>
      </c>
      <c r="N86" s="499" t="s">
        <v>2005</v>
      </c>
      <c r="O86" s="2194"/>
      <c r="P86" s="1076"/>
      <c r="Q86" s="1090" t="str">
        <f t="shared" ref="Q86:Q87" si="1">IF(OR($O86=$M86,$O86=0,$O86=""),"","*CHECK!*")</f>
        <v/>
      </c>
      <c r="R86" s="1244" t="s">
        <v>2726</v>
      </c>
    </row>
    <row r="87" spans="1:18" s="44" customFormat="1" ht="14.25" customHeight="1">
      <c r="A87" s="1214" t="s">
        <v>1365</v>
      </c>
      <c r="B87" s="456" t="s">
        <v>2552</v>
      </c>
      <c r="C87" s="3092" t="s">
        <v>4002</v>
      </c>
      <c r="D87" s="3092"/>
      <c r="E87" s="3092"/>
      <c r="F87" s="3092"/>
      <c r="G87" s="3092"/>
      <c r="H87" s="3104"/>
      <c r="I87" s="3563" t="s">
        <v>4578</v>
      </c>
      <c r="J87" s="3564"/>
      <c r="K87" s="3564"/>
      <c r="L87" s="3565"/>
      <c r="M87" s="534">
        <v>1</v>
      </c>
      <c r="N87" s="499" t="s">
        <v>2552</v>
      </c>
      <c r="O87" s="2195"/>
      <c r="P87" s="1218"/>
      <c r="Q87" s="1090" t="str">
        <f t="shared" si="1"/>
        <v/>
      </c>
      <c r="R87" s="1244" t="s">
        <v>2726</v>
      </c>
    </row>
    <row r="88" spans="1:18" s="44" customFormat="1" ht="12.6" customHeight="1">
      <c r="A88" s="538" t="s">
        <v>2807</v>
      </c>
      <c r="B88" s="172"/>
      <c r="E88" s="42"/>
      <c r="I88" s="3581"/>
      <c r="J88" s="3582"/>
      <c r="K88" s="3582"/>
      <c r="L88" s="3583"/>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201"/>
      <c r="P89" s="911"/>
      <c r="Q89" s="1090" t="str">
        <f>IF(OR($O89=$M89,$O89=0,$O89=""),"","*CHECK!*")</f>
        <v/>
      </c>
      <c r="R89" s="1244" t="s">
        <v>2726</v>
      </c>
    </row>
    <row r="90" spans="1:18" s="44" customFormat="1" ht="12.6" customHeight="1">
      <c r="A90" s="37" t="s">
        <v>4147</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5"/>
      <c r="Q91" s="441"/>
    </row>
    <row r="92" spans="1:18" s="44" customFormat="1" ht="11.25" customHeight="1">
      <c r="A92" s="3093"/>
      <c r="B92" s="3094"/>
      <c r="C92" s="3094"/>
      <c r="D92" s="3094"/>
      <c r="E92" s="3094"/>
      <c r="F92" s="3094"/>
      <c r="G92" s="3094"/>
      <c r="H92" s="3094"/>
      <c r="I92" s="3094"/>
      <c r="J92" s="3094"/>
      <c r="K92" s="3094"/>
      <c r="L92" s="3094"/>
      <c r="M92" s="3094"/>
      <c r="N92" s="3094"/>
      <c r="O92" s="3094"/>
      <c r="P92" s="3095"/>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3</v>
      </c>
      <c r="P94" s="1194">
        <f>IF(SUM(P102:P105)&gt;$M$94,"???",SUM(P102:P105))</f>
        <v>0</v>
      </c>
      <c r="Q94" s="112" t="s">
        <v>443</v>
      </c>
    </row>
    <row r="95" spans="1:18" s="44" customFormat="1" ht="13.5" customHeight="1">
      <c r="B95" s="3577" t="s">
        <v>4010</v>
      </c>
      <c r="C95" s="3577"/>
      <c r="D95" s="3577"/>
      <c r="E95" s="3577"/>
      <c r="F95" s="3577"/>
      <c r="G95" s="3577"/>
      <c r="H95" s="3577"/>
      <c r="O95" s="3571" t="str">
        <f>IF(OR(AND(P102&gt;0,P103&gt;0),AND(P103&gt;0,P104&gt;0),AND(P102&gt;0,P104&gt;0)),"Choose A, B, or C.  See instructions.",IF(AND(P104&gt;0,P105&gt;0),"Choose A or B when choosing D.  See instructions.",""))</f>
        <v/>
      </c>
      <c r="P95" s="3571"/>
      <c r="Q95" s="112"/>
    </row>
    <row r="96" spans="1:18" s="1190" customFormat="1" ht="12.6" customHeight="1">
      <c r="B96" s="3577"/>
      <c r="C96" s="3577"/>
      <c r="D96" s="3577"/>
      <c r="E96" s="3577"/>
      <c r="F96" s="3577"/>
      <c r="G96" s="3577"/>
      <c r="H96" s="3577"/>
      <c r="I96" s="3578" t="s">
        <v>4019</v>
      </c>
      <c r="J96" s="3579"/>
      <c r="K96" s="3579"/>
      <c r="L96" s="3580"/>
      <c r="O96" s="3484"/>
      <c r="P96" s="3484"/>
    </row>
    <row r="97" spans="1:18" s="44" customFormat="1" ht="13.5" customHeight="1">
      <c r="B97" s="172" t="s">
        <v>2814</v>
      </c>
      <c r="G97" s="42"/>
      <c r="H97" s="42"/>
      <c r="I97" s="1215" t="str">
        <f>'Part I-Project Information'!$H$100</f>
        <v>Flexible</v>
      </c>
      <c r="K97" s="28"/>
      <c r="M97" s="1585"/>
      <c r="N97" s="410"/>
      <c r="O97" s="3484"/>
      <c r="P97" s="3484"/>
    </row>
    <row r="98" spans="1:18" s="44" customFormat="1" ht="13.5" customHeight="1">
      <c r="B98" s="172" t="s">
        <v>4007</v>
      </c>
      <c r="G98" s="42"/>
      <c r="H98" s="42"/>
      <c r="I98" s="654"/>
      <c r="K98" s="28"/>
      <c r="M98" s="1585"/>
      <c r="N98" s="410"/>
      <c r="O98" s="3484"/>
      <c r="P98" s="3484"/>
    </row>
    <row r="99" spans="1:18" s="1190" customFormat="1" ht="13.5" customHeight="1">
      <c r="C99" s="1186" t="s">
        <v>4012</v>
      </c>
      <c r="I99" s="2202">
        <v>35</v>
      </c>
      <c r="J99" s="555"/>
      <c r="K99" s="403"/>
      <c r="O99" s="3484"/>
      <c r="P99" s="3484"/>
    </row>
    <row r="100" spans="1:18" s="1190" customFormat="1" ht="13.5" customHeight="1">
      <c r="C100" s="1186" t="s">
        <v>4013</v>
      </c>
      <c r="I100" s="2203">
        <v>52</v>
      </c>
      <c r="J100" s="557"/>
      <c r="K100" s="403"/>
      <c r="O100" s="3569" t="s">
        <v>4021</v>
      </c>
      <c r="P100" s="3569"/>
    </row>
    <row r="101" spans="1:18" s="44" customFormat="1" ht="5.25" customHeight="1">
      <c r="A101" s="158"/>
      <c r="B101" s="89"/>
      <c r="G101" s="42"/>
      <c r="H101" s="42"/>
      <c r="I101" s="654"/>
      <c r="K101" s="28"/>
      <c r="M101" s="1585"/>
      <c r="N101" s="1585"/>
      <c r="O101" s="1585"/>
      <c r="P101" s="1585"/>
      <c r="Q101" s="112"/>
    </row>
    <row r="102" spans="1:18" ht="11.45" customHeight="1">
      <c r="A102" s="143" t="s">
        <v>2000</v>
      </c>
      <c r="B102" s="184" t="s">
        <v>3904</v>
      </c>
      <c r="D102" s="34"/>
      <c r="K102" s="3570" t="str">
        <f>IF(OR(AND(O102&gt;0,O103&gt;0),AND(O103&gt;0,O104&gt;0),AND(O102&gt;0,O104&gt;0)),"Choose A, B, or C.  See instructions.",IF(AND(O104&gt;0,O105&gt;0),"Choose A or B when choosing D.  See instructions.",""))</f>
        <v/>
      </c>
      <c r="L102" s="3570"/>
      <c r="M102" s="534">
        <v>2</v>
      </c>
      <c r="N102" s="484" t="s">
        <v>2000</v>
      </c>
      <c r="O102" s="2200"/>
      <c r="P102" s="913"/>
      <c r="Q102" s="1090" t="str">
        <f>IF(OR($O102=$M102,$O102=0,$O102=""),"","*CHECK!*")</f>
        <v/>
      </c>
      <c r="R102" s="1244" t="s">
        <v>2726</v>
      </c>
    </row>
    <row r="103" spans="1:18" ht="11.45" customHeight="1">
      <c r="A103" s="143" t="s">
        <v>2002</v>
      </c>
      <c r="B103" s="184" t="s">
        <v>312</v>
      </c>
      <c r="D103" s="34"/>
      <c r="E103" s="34"/>
      <c r="K103" s="3570"/>
      <c r="L103" s="3570"/>
      <c r="M103" s="534">
        <v>1</v>
      </c>
      <c r="N103" s="484" t="s">
        <v>2002</v>
      </c>
      <c r="O103" s="2194"/>
      <c r="P103" s="1076"/>
      <c r="Q103" s="1090" t="str">
        <f t="shared" ref="Q103:Q105" si="2">IF(OR($O103=$M103,$O103=0,$O103=""),"","*CHECK!*")</f>
        <v/>
      </c>
      <c r="R103" s="1244" t="s">
        <v>2726</v>
      </c>
    </row>
    <row r="104" spans="1:18" ht="11.45" customHeight="1">
      <c r="A104" s="143" t="s">
        <v>757</v>
      </c>
      <c r="B104" s="184" t="s">
        <v>3905</v>
      </c>
      <c r="D104" s="34"/>
      <c r="E104" s="34"/>
      <c r="F104" s="34"/>
      <c r="K104" s="3570"/>
      <c r="L104" s="3570"/>
      <c r="M104" s="534">
        <v>3</v>
      </c>
      <c r="N104" s="484" t="s">
        <v>757</v>
      </c>
      <c r="O104" s="2194">
        <v>3</v>
      </c>
      <c r="P104" s="1076"/>
      <c r="Q104" s="1090" t="str">
        <f t="shared" si="2"/>
        <v/>
      </c>
      <c r="R104" s="1244" t="s">
        <v>2726</v>
      </c>
    </row>
    <row r="105" spans="1:18" ht="11.45" customHeight="1">
      <c r="A105" s="143" t="s">
        <v>2132</v>
      </c>
      <c r="B105" s="184" t="s">
        <v>3806</v>
      </c>
      <c r="D105" s="34"/>
      <c r="E105" s="34"/>
      <c r="F105" s="139" t="s">
        <v>4023</v>
      </c>
      <c r="J105" s="2204" t="s">
        <v>4022</v>
      </c>
      <c r="K105" s="3570"/>
      <c r="L105" s="3570"/>
      <c r="M105" s="534">
        <v>1</v>
      </c>
      <c r="N105" s="484" t="s">
        <v>2132</v>
      </c>
      <c r="O105" s="2195"/>
      <c r="P105" s="1218"/>
      <c r="Q105" s="1090" t="str">
        <f t="shared" si="2"/>
        <v/>
      </c>
      <c r="R105" s="1244" t="s">
        <v>2726</v>
      </c>
    </row>
    <row r="106" spans="1:18" s="105" customFormat="1" ht="11.45" customHeight="1" thickBot="1">
      <c r="A106" s="43"/>
      <c r="B106" s="1332" t="s">
        <v>3782</v>
      </c>
      <c r="C106" s="43"/>
      <c r="D106" s="49"/>
      <c r="E106" s="49"/>
      <c r="F106" s="49"/>
      <c r="G106" s="49"/>
      <c r="K106" s="37"/>
      <c r="M106" s="47"/>
      <c r="N106" s="6"/>
      <c r="O106" s="3"/>
      <c r="P106" s="1585"/>
    </row>
    <row r="107" spans="1:18" s="44" customFormat="1" ht="37.5" customHeight="1" thickTop="1" thickBot="1">
      <c r="A107" s="3305" t="s">
        <v>4733</v>
      </c>
      <c r="B107" s="3306"/>
      <c r="C107" s="3306"/>
      <c r="D107" s="3306"/>
      <c r="E107" s="3306"/>
      <c r="F107" s="3306"/>
      <c r="G107" s="3306"/>
      <c r="H107" s="3306"/>
      <c r="I107" s="3306"/>
      <c r="J107" s="3306"/>
      <c r="K107" s="3306"/>
      <c r="L107" s="3306"/>
      <c r="M107" s="3306"/>
      <c r="N107" s="3306"/>
      <c r="O107" s="3306"/>
      <c r="P107" s="3307"/>
      <c r="Q107" s="1174" t="s">
        <v>1266</v>
      </c>
    </row>
    <row r="108" spans="1:18" s="44" customFormat="1" ht="11.25" customHeight="1" thickTop="1">
      <c r="B108" s="100" t="s">
        <v>1881</v>
      </c>
      <c r="C108" s="43"/>
      <c r="D108" s="88"/>
      <c r="E108" s="1588"/>
      <c r="F108" s="1588"/>
      <c r="G108" s="1588"/>
      <c r="H108" s="1588"/>
      <c r="I108" s="1588"/>
      <c r="J108" s="1588"/>
      <c r="K108" s="1588"/>
      <c r="L108" s="1588"/>
      <c r="M108" s="1588"/>
      <c r="N108" s="77"/>
      <c r="O108" s="73"/>
      <c r="P108" s="1585"/>
      <c r="Q108" s="441"/>
    </row>
    <row r="109" spans="1:18" s="44" customFormat="1" ht="11.25" customHeight="1">
      <c r="A109" s="3419"/>
      <c r="B109" s="3420"/>
      <c r="C109" s="3420"/>
      <c r="D109" s="3420"/>
      <c r="E109" s="3420"/>
      <c r="F109" s="3420"/>
      <c r="G109" s="3420"/>
      <c r="H109" s="3420"/>
      <c r="I109" s="3420"/>
      <c r="J109" s="3420"/>
      <c r="K109" s="3420"/>
      <c r="L109" s="3420"/>
      <c r="M109" s="3420"/>
      <c r="N109" s="3420"/>
      <c r="O109" s="3420"/>
      <c r="P109" s="3421"/>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4024</v>
      </c>
      <c r="D111" s="40"/>
      <c r="E111" s="37"/>
      <c r="F111" s="941"/>
      <c r="G111" s="941"/>
      <c r="H111" s="941"/>
      <c r="I111" s="62" t="s">
        <v>3783</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4025</v>
      </c>
      <c r="C113" s="95"/>
      <c r="D113" s="119"/>
      <c r="E113" s="430" t="s">
        <v>4150</v>
      </c>
      <c r="G113" s="116"/>
      <c r="I113" s="484" t="s">
        <v>4143</v>
      </c>
      <c r="J113" s="1278" t="str">
        <f>'Part I-Project Information'!$H$78</f>
        <v>Family</v>
      </c>
      <c r="K113" s="42"/>
      <c r="L113" s="391" t="str">
        <f>IF(OR($O113=$M113,$O113=0,$O113=""),"","* * Check Score! * *")</f>
        <v/>
      </c>
      <c r="M113" s="75">
        <v>3</v>
      </c>
      <c r="N113" s="484" t="s">
        <v>2000</v>
      </c>
      <c r="O113" s="2205"/>
      <c r="P113" s="1231"/>
      <c r="Q113" s="1090" t="str">
        <f>IF(OR($O113=$M113,$O113=0,$O113=""),"","*CHECK!*")</f>
        <v/>
      </c>
      <c r="R113" s="1244" t="s">
        <v>2726</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4027</v>
      </c>
      <c r="C115" s="95"/>
      <c r="D115" s="1191"/>
      <c r="E115" s="1430" t="s">
        <v>4256</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4180</v>
      </c>
      <c r="C116" s="956"/>
      <c r="D116" s="1352"/>
      <c r="E116" s="1352"/>
      <c r="F116" s="1352"/>
      <c r="H116" s="2206" t="s">
        <v>4577</v>
      </c>
      <c r="I116" s="1352"/>
      <c r="J116" s="1352"/>
      <c r="K116" s="1352"/>
      <c r="L116" s="1352"/>
      <c r="M116" s="1593"/>
      <c r="N116" s="181"/>
      <c r="Q116" s="1169"/>
      <c r="R116" s="1169"/>
      <c r="S116" s="1169"/>
      <c r="T116" s="1169"/>
    </row>
    <row r="117" spans="1:20" s="37" customFormat="1" ht="10.5" customHeight="1">
      <c r="A117" s="65"/>
      <c r="C117" s="1291" t="s">
        <v>4181</v>
      </c>
      <c r="D117" s="3465" t="s">
        <v>4742</v>
      </c>
      <c r="E117" s="3466"/>
      <c r="F117" s="3466"/>
      <c r="G117" s="3466"/>
      <c r="H117" s="3466"/>
      <c r="I117" s="3466"/>
      <c r="J117" s="3466"/>
      <c r="K117" s="3466"/>
      <c r="L117" s="3466"/>
      <c r="M117" s="3466"/>
      <c r="N117" s="3466"/>
      <c r="O117" s="3466"/>
      <c r="P117" s="346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4028</v>
      </c>
      <c r="D119" s="95"/>
      <c r="F119" s="53"/>
      <c r="G119" s="53"/>
      <c r="H119" s="95"/>
      <c r="I119" s="95"/>
      <c r="J119" s="95"/>
      <c r="K119" s="95"/>
      <c r="L119" s="391" t="str">
        <f>IF(OR($O119=$M119,$O119=0,$O119=""),"","* * Check Score! * *")</f>
        <v/>
      </c>
      <c r="M119" s="1123">
        <v>2</v>
      </c>
      <c r="N119" s="1189" t="s">
        <v>2003</v>
      </c>
      <c r="O119" s="2205">
        <v>2</v>
      </c>
      <c r="P119" s="1231"/>
      <c r="Q119" s="1090" t="str">
        <f>IF(OR($O119=$M119,$O119=0,$O119=""),"","*CHECK!*")</f>
        <v/>
      </c>
      <c r="R119" s="1244" t="s">
        <v>2726</v>
      </c>
      <c r="S119" s="1169"/>
      <c r="T119" s="1169"/>
    </row>
    <row r="120" spans="1:20" s="105" customFormat="1" ht="10.5" customHeight="1">
      <c r="A120" s="185"/>
      <c r="B120" s="942"/>
      <c r="C120" s="53" t="s">
        <v>4029</v>
      </c>
      <c r="D120" s="95"/>
      <c r="E120" s="53"/>
      <c r="F120" s="53"/>
      <c r="G120" s="53"/>
      <c r="H120" s="95"/>
      <c r="I120" s="95"/>
      <c r="J120" s="95"/>
      <c r="K120" s="95"/>
      <c r="L120" s="95"/>
      <c r="M120" s="1123"/>
      <c r="N120" s="1123"/>
      <c r="O120" s="2207" t="s">
        <v>3012</v>
      </c>
      <c r="P120" s="566"/>
      <c r="Q120" s="1169"/>
      <c r="R120" s="1169"/>
      <c r="S120" s="1169"/>
      <c r="T120" s="1169"/>
    </row>
    <row r="121" spans="1:20" s="105" customFormat="1" ht="10.5" customHeight="1">
      <c r="A121" s="185"/>
      <c r="B121" s="942"/>
      <c r="C121" s="53" t="s">
        <v>4030</v>
      </c>
      <c r="D121" s="179" t="s">
        <v>4151</v>
      </c>
      <c r="F121" s="53"/>
      <c r="G121" s="53"/>
      <c r="H121" s="3575" t="s">
        <v>4576</v>
      </c>
      <c r="I121" s="3575"/>
      <c r="J121" s="3575"/>
      <c r="K121" s="3575"/>
      <c r="L121" s="3575"/>
      <c r="M121" s="3575"/>
      <c r="N121" s="3575"/>
      <c r="O121" s="3575"/>
      <c r="P121" s="3575"/>
      <c r="Q121" s="1169"/>
      <c r="R121" s="1169"/>
      <c r="S121" s="1169"/>
      <c r="T121" s="1169"/>
    </row>
    <row r="122" spans="1:20" s="105" customFormat="1" ht="10.5" customHeight="1">
      <c r="A122" s="185"/>
      <c r="B122" s="53"/>
      <c r="C122" s="37" t="s">
        <v>4032</v>
      </c>
      <c r="D122" s="95"/>
      <c r="E122" s="53"/>
      <c r="F122" s="53"/>
      <c r="G122" s="53"/>
      <c r="H122" s="95"/>
      <c r="I122" s="95"/>
      <c r="J122" s="95"/>
      <c r="K122" s="95"/>
      <c r="L122" s="95"/>
      <c r="M122" s="445"/>
      <c r="N122" s="1102" t="s">
        <v>3810</v>
      </c>
      <c r="O122" s="2208" t="s">
        <v>3012</v>
      </c>
      <c r="P122" s="1005"/>
      <c r="Q122" s="1169"/>
      <c r="R122" s="1169"/>
      <c r="S122" s="1169"/>
      <c r="T122" s="1169"/>
    </row>
    <row r="123" spans="1:20" s="37" customFormat="1" ht="10.5" customHeight="1">
      <c r="A123" s="65"/>
      <c r="B123" s="389"/>
      <c r="C123" s="37" t="s">
        <v>4033</v>
      </c>
      <c r="D123" s="53"/>
      <c r="E123" s="53"/>
      <c r="F123" s="53"/>
      <c r="G123" s="53"/>
      <c r="H123" s="53"/>
      <c r="I123" s="53"/>
      <c r="J123" s="53"/>
      <c r="K123" s="53"/>
      <c r="L123" s="53"/>
      <c r="M123" s="1593"/>
      <c r="N123" s="401" t="s">
        <v>3811</v>
      </c>
      <c r="O123" s="2192" t="s">
        <v>3012</v>
      </c>
      <c r="P123" s="563"/>
      <c r="Q123" s="1169"/>
      <c r="R123" s="1169"/>
      <c r="S123" s="1169"/>
      <c r="T123" s="1169"/>
    </row>
    <row r="124" spans="1:20" s="56" customFormat="1" ht="10.5" customHeight="1">
      <c r="A124" s="65"/>
      <c r="C124" s="56" t="s">
        <v>4178</v>
      </c>
      <c r="D124" s="430"/>
      <c r="E124" s="53"/>
      <c r="F124" s="53"/>
      <c r="G124" s="53"/>
      <c r="H124" s="430"/>
      <c r="J124" s="430"/>
      <c r="L124" s="3122" t="s">
        <v>3847</v>
      </c>
      <c r="M124" s="3122"/>
      <c r="N124" s="3122"/>
      <c r="O124" s="3576" t="s">
        <v>3846</v>
      </c>
      <c r="P124" s="3576"/>
      <c r="Q124" s="53"/>
    </row>
    <row r="125" spans="1:20" s="56" customFormat="1" ht="10.5" customHeight="1">
      <c r="A125" s="65"/>
      <c r="B125" s="390"/>
      <c r="C125" s="3298" t="s">
        <v>4572</v>
      </c>
      <c r="D125" s="3299"/>
      <c r="E125" s="3299"/>
      <c r="F125" s="3299"/>
      <c r="G125" s="3299"/>
      <c r="H125" s="3299"/>
      <c r="I125" s="3299"/>
      <c r="J125" s="3299"/>
      <c r="K125" s="3300"/>
      <c r="L125" s="3318" t="s">
        <v>4575</v>
      </c>
      <c r="M125" s="3318"/>
      <c r="N125" s="3318"/>
      <c r="O125" s="3468">
        <v>0</v>
      </c>
      <c r="P125" s="3468"/>
      <c r="Q125" s="1207" t="str">
        <f>IF(O125&gt;15, "Too much!","")</f>
        <v/>
      </c>
    </row>
    <row r="126" spans="1:20" s="56" customFormat="1" ht="10.5" customHeight="1">
      <c r="A126" s="65"/>
      <c r="B126" s="402"/>
      <c r="C126" s="3338" t="s">
        <v>4573</v>
      </c>
      <c r="D126" s="3339"/>
      <c r="E126" s="3339"/>
      <c r="F126" s="3339"/>
      <c r="G126" s="3339"/>
      <c r="H126" s="3339"/>
      <c r="I126" s="3339"/>
      <c r="J126" s="3339"/>
      <c r="K126" s="3340"/>
      <c r="L126" s="3318" t="s">
        <v>4575</v>
      </c>
      <c r="M126" s="3318"/>
      <c r="N126" s="3318"/>
      <c r="O126" s="3329">
        <v>0</v>
      </c>
      <c r="P126" s="3329"/>
      <c r="Q126" s="1207" t="str">
        <f t="shared" ref="Q126:Q128" si="3">IF(O126&gt;15, "Too much!","")</f>
        <v/>
      </c>
    </row>
    <row r="127" spans="1:20" s="56" customFormat="1" ht="10.5" customHeight="1">
      <c r="A127" s="65"/>
      <c r="B127" s="390"/>
      <c r="C127" s="3338" t="s">
        <v>4574</v>
      </c>
      <c r="D127" s="3339"/>
      <c r="E127" s="3339"/>
      <c r="F127" s="3339"/>
      <c r="G127" s="3339"/>
      <c r="H127" s="3339"/>
      <c r="I127" s="3339"/>
      <c r="J127" s="3339"/>
      <c r="K127" s="3340"/>
      <c r="L127" s="3318" t="s">
        <v>4575</v>
      </c>
      <c r="M127" s="3318"/>
      <c r="N127" s="3318"/>
      <c r="O127" s="3329">
        <v>0</v>
      </c>
      <c r="P127" s="3329"/>
      <c r="Q127" s="1207" t="str">
        <f t="shared" si="3"/>
        <v/>
      </c>
    </row>
    <row r="128" spans="1:20" s="56" customFormat="1" ht="10.5" customHeight="1">
      <c r="A128" s="65"/>
      <c r="B128" s="401"/>
      <c r="C128" s="3333"/>
      <c r="D128" s="3334"/>
      <c r="E128" s="3334"/>
      <c r="F128" s="3334"/>
      <c r="G128" s="3334"/>
      <c r="H128" s="3334"/>
      <c r="I128" s="3334"/>
      <c r="J128" s="3334"/>
      <c r="K128" s="3335"/>
      <c r="L128" s="3336" t="s">
        <v>3729</v>
      </c>
      <c r="M128" s="3336"/>
      <c r="N128" s="3336"/>
      <c r="O128" s="3337"/>
      <c r="P128" s="3337"/>
      <c r="Q128" s="1207" t="str">
        <f t="shared" si="3"/>
        <v/>
      </c>
    </row>
    <row r="129" spans="1:21" s="105" customFormat="1" ht="10.5" customHeight="1">
      <c r="B129" s="942"/>
      <c r="C129" s="53" t="s">
        <v>4031</v>
      </c>
      <c r="D129" s="37" t="s">
        <v>4034</v>
      </c>
      <c r="E129" s="53"/>
      <c r="F129" s="53"/>
      <c r="G129" s="53"/>
      <c r="H129" s="95"/>
      <c r="I129" s="95"/>
      <c r="J129" s="95"/>
      <c r="K129" s="95"/>
      <c r="L129" s="95"/>
      <c r="M129" s="95"/>
      <c r="N129" s="1102" t="s">
        <v>3810</v>
      </c>
      <c r="O129" s="2193" t="s">
        <v>3012</v>
      </c>
      <c r="P129" s="561"/>
      <c r="Q129" s="517"/>
      <c r="R129" s="56"/>
      <c r="S129" s="56"/>
      <c r="T129" s="56"/>
      <c r="U129" s="56"/>
    </row>
    <row r="130" spans="1:21" s="105" customFormat="1" ht="10.5" customHeight="1">
      <c r="A130" s="185"/>
      <c r="B130" s="53"/>
      <c r="D130" s="37" t="s">
        <v>4035</v>
      </c>
      <c r="E130" s="53"/>
      <c r="F130" s="53"/>
      <c r="G130" s="53"/>
      <c r="H130" s="95"/>
      <c r="I130" s="95"/>
      <c r="J130" s="95"/>
      <c r="K130" s="95"/>
      <c r="L130" s="95"/>
      <c r="M130" s="445"/>
      <c r="N130" s="401" t="s">
        <v>3811</v>
      </c>
      <c r="O130" s="2192" t="s">
        <v>3012</v>
      </c>
      <c r="P130" s="563"/>
      <c r="Q130" s="517"/>
      <c r="R130" s="56"/>
      <c r="S130" s="56"/>
      <c r="T130" s="56"/>
      <c r="U130" s="56"/>
    </row>
    <row r="131" spans="1:21" s="37" customFormat="1" ht="10.5" customHeight="1">
      <c r="A131" s="65"/>
      <c r="B131" s="389"/>
      <c r="D131" s="56" t="s">
        <v>4183</v>
      </c>
      <c r="E131" s="53"/>
      <c r="F131" s="53"/>
      <c r="G131" s="53"/>
      <c r="H131" s="53"/>
      <c r="I131" s="53"/>
      <c r="J131" s="53"/>
      <c r="K131" s="53"/>
      <c r="L131" s="53"/>
      <c r="M131" s="1593"/>
      <c r="Q131" s="53"/>
      <c r="R131" s="56"/>
      <c r="S131" s="56"/>
      <c r="T131" s="56"/>
      <c r="U131" s="56"/>
    </row>
    <row r="132" spans="1:21" s="56" customFormat="1" ht="10.5" customHeight="1">
      <c r="A132" s="65"/>
      <c r="B132" s="65"/>
      <c r="C132" s="956" t="s">
        <v>4212</v>
      </c>
      <c r="D132" s="65"/>
      <c r="E132" s="65"/>
      <c r="F132" s="65"/>
      <c r="G132" s="2193" t="s">
        <v>3012</v>
      </c>
      <c r="H132" s="561"/>
      <c r="I132" s="956" t="s">
        <v>4215</v>
      </c>
      <c r="L132" s="65"/>
      <c r="M132" s="65"/>
      <c r="N132" s="65"/>
      <c r="O132" s="2193" t="s">
        <v>3012</v>
      </c>
      <c r="P132" s="561"/>
      <c r="Q132" s="53"/>
    </row>
    <row r="133" spans="1:21" s="56" customFormat="1" ht="10.5" customHeight="1">
      <c r="A133" s="65"/>
      <c r="B133" s="65"/>
      <c r="C133" s="956" t="s">
        <v>4541</v>
      </c>
      <c r="D133" s="65"/>
      <c r="E133" s="65"/>
      <c r="F133" s="65"/>
      <c r="G133" s="2193" t="s">
        <v>3012</v>
      </c>
      <c r="H133" s="562"/>
      <c r="I133" s="53" t="s">
        <v>4216</v>
      </c>
      <c r="L133" s="65"/>
      <c r="M133" s="65"/>
      <c r="N133" s="65"/>
      <c r="O133" s="2196" t="s">
        <v>3012</v>
      </c>
      <c r="P133" s="562"/>
      <c r="Q133" s="53"/>
    </row>
    <row r="134" spans="1:21" s="56" customFormat="1" ht="10.5" customHeight="1">
      <c r="A134" s="65"/>
      <c r="B134" s="65"/>
      <c r="C134" s="956" t="s">
        <v>4214</v>
      </c>
      <c r="D134" s="65"/>
      <c r="E134" s="65"/>
      <c r="F134" s="65"/>
      <c r="G134" s="2193" t="s">
        <v>3012</v>
      </c>
      <c r="H134" s="562"/>
      <c r="I134" s="956" t="s">
        <v>4217</v>
      </c>
      <c r="L134" s="65"/>
      <c r="M134" s="65"/>
      <c r="N134" s="65"/>
      <c r="O134" s="2196" t="s">
        <v>3012</v>
      </c>
      <c r="P134" s="562"/>
      <c r="Q134" s="53"/>
    </row>
    <row r="135" spans="1:21" s="56" customFormat="1" ht="10.5" customHeight="1">
      <c r="A135" s="65"/>
      <c r="B135" s="65"/>
      <c r="C135" s="3330" t="s">
        <v>4570</v>
      </c>
      <c r="D135" s="3331"/>
      <c r="E135" s="3331"/>
      <c r="F135" s="3332"/>
      <c r="G135" s="2193" t="s">
        <v>3012</v>
      </c>
      <c r="H135" s="1292"/>
      <c r="I135" s="3330" t="s">
        <v>4571</v>
      </c>
      <c r="J135" s="3331"/>
      <c r="K135" s="3331"/>
      <c r="L135" s="3331"/>
      <c r="M135" s="3331"/>
      <c r="N135" s="3332"/>
      <c r="O135" s="2192" t="s">
        <v>3012</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3848</v>
      </c>
      <c r="D137" s="144"/>
      <c r="F137" s="144"/>
      <c r="G137" s="144"/>
      <c r="H137" s="144"/>
      <c r="I137" s="144"/>
      <c r="J137" s="144"/>
      <c r="K137" s="144"/>
      <c r="L137" s="391" t="str">
        <f>IF(OR($O137=$M137,$O137=0,$O137=""),"","* * Check Score! * *")</f>
        <v/>
      </c>
      <c r="M137" s="628">
        <v>1</v>
      </c>
      <c r="N137" s="1189" t="s">
        <v>2005</v>
      </c>
      <c r="O137" s="2205">
        <v>1</v>
      </c>
      <c r="P137" s="1231"/>
      <c r="Q137" s="1090" t="str">
        <f>IF(OR($O137=$M137,$O137=0,$O137=""),"","*CHECK!*")</f>
        <v/>
      </c>
      <c r="R137" s="1244" t="s">
        <v>2726</v>
      </c>
      <c r="S137" s="1169"/>
      <c r="T137" s="1169"/>
      <c r="U137" s="1169"/>
    </row>
    <row r="138" spans="1:21" s="37" customFormat="1" ht="10.5" customHeight="1">
      <c r="A138" s="65"/>
      <c r="C138" s="53" t="s">
        <v>4036</v>
      </c>
      <c r="D138" s="1352"/>
      <c r="E138" s="1352"/>
      <c r="F138" s="1352"/>
      <c r="G138" s="1352"/>
      <c r="H138" s="1352"/>
      <c r="I138" s="1352"/>
      <c r="J138" s="1352"/>
      <c r="K138" s="1352"/>
      <c r="L138" s="1352"/>
      <c r="M138" s="1593"/>
      <c r="N138" s="53"/>
      <c r="O138" s="2207" t="s">
        <v>3012</v>
      </c>
      <c r="P138" s="566"/>
      <c r="Q138" s="53"/>
      <c r="R138" s="1169"/>
      <c r="S138" s="1169"/>
      <c r="T138" s="1169"/>
      <c r="U138" s="1169"/>
    </row>
    <row r="139" spans="1:21" s="37" customFormat="1" ht="10.5" customHeight="1">
      <c r="A139" s="65"/>
      <c r="B139" s="942"/>
      <c r="C139" s="53" t="s">
        <v>4037</v>
      </c>
      <c r="D139" s="1352"/>
      <c r="E139" s="1352"/>
      <c r="F139" s="1352"/>
      <c r="G139" s="956" t="s">
        <v>4038</v>
      </c>
      <c r="I139" s="1352"/>
      <c r="J139" s="1352"/>
      <c r="K139" s="1352"/>
      <c r="L139" s="1352"/>
      <c r="M139" s="67" t="s">
        <v>2452</v>
      </c>
      <c r="N139" s="401" t="s">
        <v>3810</v>
      </c>
      <c r="O139" s="2208" t="s">
        <v>3012</v>
      </c>
      <c r="P139" s="1005"/>
      <c r="Q139" s="53"/>
      <c r="R139" s="1169"/>
      <c r="S139" s="1169"/>
      <c r="T139" s="1169"/>
      <c r="U139" s="1169"/>
    </row>
    <row r="140" spans="1:21" s="37" customFormat="1" ht="10.5" customHeight="1">
      <c r="A140" s="65"/>
      <c r="B140" s="389"/>
      <c r="D140" s="1352"/>
      <c r="E140" s="1352"/>
      <c r="F140" s="1352"/>
      <c r="G140" s="956" t="s">
        <v>4039</v>
      </c>
      <c r="I140" s="1352"/>
      <c r="J140" s="1352"/>
      <c r="K140" s="1352"/>
      <c r="L140" s="1352"/>
      <c r="M140" s="1593"/>
      <c r="N140" s="1102" t="s">
        <v>3811</v>
      </c>
      <c r="O140" s="2196" t="s">
        <v>3012</v>
      </c>
      <c r="P140" s="562"/>
      <c r="Q140" s="53"/>
      <c r="R140" s="1169"/>
      <c r="S140" s="1169"/>
      <c r="T140" s="1169"/>
      <c r="U140" s="1169"/>
    </row>
    <row r="141" spans="1:21" s="37" customFormat="1" ht="10.5" customHeight="1">
      <c r="A141" s="67"/>
      <c r="B141" s="389"/>
      <c r="D141" s="1352"/>
      <c r="E141" s="1352"/>
      <c r="F141" s="1352"/>
      <c r="G141" s="956" t="s">
        <v>4040</v>
      </c>
      <c r="I141" s="1352"/>
      <c r="J141" s="1352"/>
      <c r="K141" s="1352"/>
      <c r="L141" s="1352"/>
      <c r="M141" s="1593"/>
      <c r="N141" s="401" t="s">
        <v>3812</v>
      </c>
      <c r="O141" s="2196" t="s">
        <v>3012</v>
      </c>
      <c r="P141" s="562"/>
      <c r="Q141" s="53"/>
      <c r="R141" s="1169"/>
      <c r="S141" s="1169"/>
      <c r="T141" s="1169"/>
      <c r="U141" s="1169"/>
    </row>
    <row r="142" spans="1:21" s="37" customFormat="1" ht="10.5" customHeight="1">
      <c r="A142" s="65"/>
      <c r="B142" s="389"/>
      <c r="D142" s="1352"/>
      <c r="E142" s="1352"/>
      <c r="F142" s="1352"/>
      <c r="G142" s="956" t="s">
        <v>4041</v>
      </c>
      <c r="I142" s="1352"/>
      <c r="J142" s="1352"/>
      <c r="K142" s="1352"/>
      <c r="L142" s="1352"/>
      <c r="M142" s="1593"/>
      <c r="N142" s="401" t="s">
        <v>3814</v>
      </c>
      <c r="O142" s="2196" t="s">
        <v>3012</v>
      </c>
      <c r="P142" s="562"/>
      <c r="Q142" s="53"/>
      <c r="R142" s="1169"/>
      <c r="S142" s="1169"/>
      <c r="T142" s="1169"/>
      <c r="U142" s="1169"/>
    </row>
    <row r="143" spans="1:21" s="37" customFormat="1" ht="10.5" customHeight="1">
      <c r="A143" s="65"/>
      <c r="B143" s="389"/>
      <c r="D143" s="1352"/>
      <c r="E143" s="1352"/>
      <c r="F143" s="1352"/>
      <c r="G143" s="956" t="s">
        <v>4042</v>
      </c>
      <c r="I143" s="1352"/>
      <c r="J143" s="1352"/>
      <c r="K143" s="1352"/>
      <c r="L143" s="1352"/>
      <c r="M143" s="1593"/>
      <c r="N143" s="1102" t="s">
        <v>3815</v>
      </c>
      <c r="O143" s="2192" t="s">
        <v>3012</v>
      </c>
      <c r="P143" s="563"/>
      <c r="Q143" s="53"/>
    </row>
    <row r="144" spans="1:21" s="37" customFormat="1" ht="10.5" customHeight="1">
      <c r="A144" s="65"/>
      <c r="B144" s="942"/>
      <c r="C144" s="956" t="s">
        <v>4182</v>
      </c>
      <c r="D144" s="1352"/>
      <c r="E144" s="1352"/>
      <c r="F144" s="1352"/>
      <c r="G144" s="1352"/>
      <c r="H144" s="1352"/>
      <c r="I144" s="1352"/>
      <c r="J144" s="1352"/>
      <c r="K144" s="1352"/>
      <c r="L144" s="1352"/>
      <c r="M144" s="67"/>
      <c r="N144" s="67" t="s">
        <v>2453</v>
      </c>
      <c r="O144" s="2209" t="s">
        <v>3012</v>
      </c>
      <c r="P144" s="560"/>
      <c r="Q144" s="53"/>
    </row>
    <row r="145" spans="1:18" s="56" customFormat="1" ht="10.5" customHeight="1">
      <c r="A145" s="65"/>
      <c r="B145" s="456"/>
      <c r="C145" s="56" t="s">
        <v>3863</v>
      </c>
      <c r="D145" s="430"/>
      <c r="E145" s="53"/>
      <c r="F145" s="53"/>
      <c r="G145" s="56" t="s">
        <v>4184</v>
      </c>
      <c r="H145" s="430"/>
      <c r="M145" s="59"/>
      <c r="N145" s="59"/>
      <c r="O145" s="59"/>
      <c r="P145" s="59"/>
      <c r="Q145" s="53"/>
    </row>
    <row r="146" spans="1:18" s="56" customFormat="1" ht="33.75" customHeight="1">
      <c r="A146" s="65"/>
      <c r="B146" s="390"/>
      <c r="C146" s="3298" t="s">
        <v>4569</v>
      </c>
      <c r="D146" s="3299"/>
      <c r="E146" s="3299"/>
      <c r="F146" s="3300"/>
      <c r="G146" s="3298" t="s">
        <v>4735</v>
      </c>
      <c r="H146" s="3299"/>
      <c r="I146" s="3299"/>
      <c r="J146" s="3299"/>
      <c r="K146" s="3299"/>
      <c r="L146" s="3299"/>
      <c r="M146" s="3299"/>
      <c r="N146" s="3299"/>
      <c r="O146" s="3299"/>
      <c r="P146" s="3300"/>
      <c r="Q146" s="53"/>
    </row>
    <row r="147" spans="1:18" s="56" customFormat="1" ht="39" customHeight="1">
      <c r="A147" s="65"/>
      <c r="B147" s="402"/>
      <c r="C147" s="3338" t="s">
        <v>4720</v>
      </c>
      <c r="D147" s="3339"/>
      <c r="E147" s="3339"/>
      <c r="F147" s="3340"/>
      <c r="G147" s="3338" t="s">
        <v>4736</v>
      </c>
      <c r="H147" s="3339"/>
      <c r="I147" s="3339"/>
      <c r="J147" s="3339"/>
      <c r="K147" s="3339"/>
      <c r="L147" s="3339"/>
      <c r="M147" s="3339"/>
      <c r="N147" s="3339"/>
      <c r="O147" s="3339"/>
      <c r="P147" s="3340"/>
      <c r="Q147" s="53"/>
    </row>
    <row r="148" spans="1:18" s="56" customFormat="1" ht="22.5" customHeight="1">
      <c r="A148" s="3451" t="s">
        <v>4218</v>
      </c>
      <c r="B148" s="3451"/>
      <c r="C148" s="3338"/>
      <c r="D148" s="3339"/>
      <c r="E148" s="3339"/>
      <c r="F148" s="3340"/>
      <c r="G148" s="3338"/>
      <c r="H148" s="3339"/>
      <c r="I148" s="3339"/>
      <c r="J148" s="3339"/>
      <c r="K148" s="3339"/>
      <c r="L148" s="3339"/>
      <c r="M148" s="3339"/>
      <c r="N148" s="3339"/>
      <c r="O148" s="3339"/>
      <c r="P148" s="3340"/>
      <c r="Q148" s="53"/>
    </row>
    <row r="149" spans="1:18" s="56" customFormat="1" ht="10.5" customHeight="1">
      <c r="A149" s="3451"/>
      <c r="B149" s="3451"/>
      <c r="C149" s="3333"/>
      <c r="D149" s="3334"/>
      <c r="E149" s="3334"/>
      <c r="F149" s="3335"/>
      <c r="G149" s="3333"/>
      <c r="H149" s="3334"/>
      <c r="I149" s="3334"/>
      <c r="J149" s="3334"/>
      <c r="K149" s="3334"/>
      <c r="L149" s="3334"/>
      <c r="M149" s="3334"/>
      <c r="N149" s="3334"/>
      <c r="O149" s="3334"/>
      <c r="P149" s="3335"/>
      <c r="Q149" s="53"/>
    </row>
    <row r="150" spans="1:18" s="44" customFormat="1" ht="4.5" customHeight="1">
      <c r="A150" s="3557"/>
      <c r="B150" s="3557"/>
      <c r="C150" s="101"/>
      <c r="D150" s="88"/>
      <c r="E150" s="102"/>
      <c r="F150" s="1588"/>
      <c r="G150" s="1588"/>
      <c r="H150" s="1588"/>
      <c r="I150" s="1588"/>
      <c r="J150" s="1588"/>
      <c r="K150" s="1588"/>
      <c r="L150" s="1588"/>
      <c r="M150" s="1588"/>
      <c r="N150" s="77"/>
      <c r="O150" s="73"/>
      <c r="P150" s="1585"/>
      <c r="Q150" s="441"/>
    </row>
    <row r="151" spans="1:18" s="44" customFormat="1" ht="11.25" customHeight="1">
      <c r="A151" s="3093"/>
      <c r="B151" s="3094"/>
      <c r="C151" s="3094"/>
      <c r="D151" s="3094"/>
      <c r="E151" s="3094"/>
      <c r="F151" s="3094"/>
      <c r="G151" s="3094"/>
      <c r="H151" s="3094"/>
      <c r="I151" s="3094"/>
      <c r="J151" s="3094"/>
      <c r="K151" s="3094"/>
      <c r="L151" s="3094"/>
      <c r="M151" s="3094"/>
      <c r="N151" s="3094"/>
      <c r="O151" s="3094"/>
      <c r="P151" s="3095"/>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4006</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2000</v>
      </c>
      <c r="B155" s="10" t="s">
        <v>4046</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210" t="s">
        <v>3012</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64" t="s">
        <v>4220</v>
      </c>
      <c r="C158" s="3364"/>
      <c r="D158" s="3364"/>
      <c r="E158" s="53" t="s">
        <v>3854</v>
      </c>
      <c r="F158" s="105"/>
      <c r="G158" s="53"/>
      <c r="H158" s="105"/>
      <c r="I158" s="3465" t="s">
        <v>4568</v>
      </c>
      <c r="J158" s="3466"/>
      <c r="K158" s="3466"/>
      <c r="L158" s="3467"/>
    </row>
    <row r="159" spans="1:18" s="44" customFormat="1" ht="11.25" customHeight="1">
      <c r="A159" s="143"/>
      <c r="B159" s="3364"/>
      <c r="C159" s="3364"/>
      <c r="D159" s="3364"/>
      <c r="E159" s="41" t="s">
        <v>3856</v>
      </c>
      <c r="F159" s="391"/>
      <c r="G159" s="105"/>
      <c r="H159" s="105"/>
      <c r="I159" s="41"/>
      <c r="J159" s="1603"/>
      <c r="K159" s="1603"/>
      <c r="L159" s="1603"/>
      <c r="M159" s="105"/>
      <c r="N159" s="1222"/>
      <c r="O159" s="2210" t="s">
        <v>4556</v>
      </c>
      <c r="P159" s="559"/>
      <c r="Q159" s="138"/>
    </row>
    <row r="160" spans="1:18" s="44" customFormat="1" ht="12" customHeight="1">
      <c r="A160" s="43"/>
      <c r="C160" s="1588"/>
      <c r="D160" s="1588"/>
      <c r="E160" s="53" t="s">
        <v>2925</v>
      </c>
      <c r="F160" s="3588" t="str">
        <f>'Part I-Project Information'!$H$78</f>
        <v>Family</v>
      </c>
      <c r="G160" s="3588"/>
      <c r="I160" s="1588"/>
      <c r="J160" s="1588"/>
      <c r="K160" s="1588"/>
      <c r="L160" s="1588"/>
      <c r="M160" s="1588"/>
      <c r="N160" s="77"/>
      <c r="O160" s="73"/>
      <c r="P160" s="941"/>
    </row>
    <row r="161" spans="1:24" s="44" customFormat="1" ht="13.5" customHeight="1">
      <c r="A161" s="143"/>
      <c r="B161" s="579"/>
      <c r="C161" s="578"/>
      <c r="D161" s="578"/>
      <c r="E161" s="1354"/>
      <c r="H161" s="3585" t="s">
        <v>3852</v>
      </c>
      <c r="I161" s="3456" t="s">
        <v>3898</v>
      </c>
      <c r="J161" s="3457"/>
      <c r="K161" s="3457"/>
      <c r="L161" s="3458"/>
      <c r="M161" s="3455" t="s">
        <v>3851</v>
      </c>
      <c r="N161" s="3455"/>
      <c r="O161" s="3455" t="s">
        <v>3855</v>
      </c>
      <c r="P161" s="3455"/>
      <c r="Q161" s="138"/>
    </row>
    <row r="162" spans="1:24" s="44" customFormat="1" ht="13.5" customHeight="1">
      <c r="A162" s="143"/>
      <c r="B162" s="584" t="s">
        <v>3849</v>
      </c>
      <c r="C162" s="1603"/>
      <c r="D162" s="3587" t="s">
        <v>3853</v>
      </c>
      <c r="E162" s="3587"/>
      <c r="F162" s="3587"/>
      <c r="G162" s="1607" t="s">
        <v>3421</v>
      </c>
      <c r="H162" s="3586"/>
      <c r="I162" s="544">
        <v>2014</v>
      </c>
      <c r="J162" s="544">
        <v>2015</v>
      </c>
      <c r="K162" s="544">
        <v>2016</v>
      </c>
      <c r="L162" s="544">
        <v>2017</v>
      </c>
      <c r="M162" s="3455"/>
      <c r="N162" s="3455"/>
      <c r="O162" s="3455"/>
      <c r="P162" s="3455"/>
      <c r="Q162" s="3535" t="s">
        <v>3850</v>
      </c>
      <c r="R162" s="3535"/>
    </row>
    <row r="163" spans="1:24" s="44" customFormat="1" ht="13.5" customHeight="1">
      <c r="A163" s="390" t="s">
        <v>2452</v>
      </c>
      <c r="B163" s="626" t="s">
        <v>4045</v>
      </c>
      <c r="D163" s="3405" t="s">
        <v>4687</v>
      </c>
      <c r="E163" s="3406"/>
      <c r="F163" s="3407"/>
      <c r="G163" s="2211" t="s">
        <v>4565</v>
      </c>
      <c r="H163" s="2212" t="s">
        <v>3012</v>
      </c>
      <c r="I163" s="2213"/>
      <c r="J163" s="2214">
        <v>60.1</v>
      </c>
      <c r="K163" s="2214">
        <v>64.599999999999994</v>
      </c>
      <c r="L163" s="2215">
        <v>73.400000000000006</v>
      </c>
      <c r="M163" s="3292">
        <f>IF(I163+J163+K163+L163=0,"",AVERAGE(I163,J163,K163,L163))</f>
        <v>66.033333333333331</v>
      </c>
      <c r="N163" s="3293"/>
      <c r="O163" s="662" t="str">
        <f>IF(M163="","",IF(M163&gt;Q163,"Yes",IF(M163&lt;Q163,"No","")))</f>
        <v>No</v>
      </c>
      <c r="Q163" s="3400">
        <v>73.400000000000006</v>
      </c>
      <c r="R163" s="3401"/>
      <c r="S163" s="55"/>
    </row>
    <row r="164" spans="1:24" s="44" customFormat="1" ht="13.5" customHeight="1">
      <c r="A164" s="402" t="s">
        <v>2453</v>
      </c>
      <c r="B164" s="626" t="s">
        <v>4219</v>
      </c>
      <c r="D164" s="3408" t="s">
        <v>4563</v>
      </c>
      <c r="E164" s="3409"/>
      <c r="F164" s="3410"/>
      <c r="G164" s="2216" t="s">
        <v>4566</v>
      </c>
      <c r="H164" s="2217" t="s">
        <v>3015</v>
      </c>
      <c r="I164" s="2218"/>
      <c r="J164" s="2219">
        <v>67</v>
      </c>
      <c r="K164" s="2219">
        <v>67.5</v>
      </c>
      <c r="L164" s="2220">
        <v>70.8</v>
      </c>
      <c r="M164" s="3290">
        <f>IF(I164+J164+K164+L164=0,"",AVERAGE(I164,J164,K164,L164))</f>
        <v>68.433333333333337</v>
      </c>
      <c r="N164" s="3291"/>
      <c r="O164" s="663" t="str">
        <f>IF(M164="","",IF(M164&gt;Q164,"Yes",IF(M164&lt;Q164,"No","")))</f>
        <v>No</v>
      </c>
      <c r="Q164" s="3400">
        <v>72.099999999999994</v>
      </c>
      <c r="R164" s="3401"/>
      <c r="S164" s="55"/>
    </row>
    <row r="165" spans="1:24" s="44" customFormat="1" ht="13.5" customHeight="1">
      <c r="A165" s="390" t="s">
        <v>2454</v>
      </c>
      <c r="B165" s="626" t="s">
        <v>4043</v>
      </c>
      <c r="D165" s="3402" t="s">
        <v>4564</v>
      </c>
      <c r="E165" s="3403"/>
      <c r="F165" s="3404"/>
      <c r="G165" s="2221" t="s">
        <v>4567</v>
      </c>
      <c r="H165" s="2222" t="s">
        <v>3015</v>
      </c>
      <c r="I165" s="2223"/>
      <c r="J165" s="2224">
        <v>80.5</v>
      </c>
      <c r="K165" s="2224">
        <v>81.7</v>
      </c>
      <c r="L165" s="2225">
        <v>78.7</v>
      </c>
      <c r="M165" s="3459">
        <f>IF(I165+J165+K165+L165=0,"",AVERAGE(I165,J165,K165,L165))</f>
        <v>80.3</v>
      </c>
      <c r="N165" s="3460"/>
      <c r="O165" s="664" t="str">
        <f>IF(M165="","",IF(M165&gt;Q165,"Yes",IF(M165&lt;Q165,"No","")))</f>
        <v>Yes</v>
      </c>
      <c r="Q165" s="3400">
        <v>73.3</v>
      </c>
      <c r="R165" s="3401"/>
      <c r="S165" s="55"/>
    </row>
    <row r="166" spans="1:24" s="44" customFormat="1" ht="1.5" customHeight="1">
      <c r="A166" s="390"/>
      <c r="B166" s="626"/>
    </row>
    <row r="167" spans="1:24" s="44" customFormat="1" ht="13.5" customHeight="1">
      <c r="A167" s="401" t="s">
        <v>2455</v>
      </c>
      <c r="B167" s="1032" t="s">
        <v>4045</v>
      </c>
      <c r="D167" s="443" t="str">
        <f>IF(D163="","",D163)</f>
        <v>Wynnton Arts Academy</v>
      </c>
      <c r="G167" s="544" t="str">
        <f t="shared" ref="G167:H169" si="4">IF(G163="","",G163)</f>
        <v>Pre K - 5</v>
      </c>
      <c r="H167" s="544" t="str">
        <f t="shared" si="4"/>
        <v>Yes</v>
      </c>
      <c r="I167" s="1132"/>
      <c r="J167" s="1133"/>
      <c r="K167" s="1133"/>
      <c r="L167" s="1134"/>
      <c r="M167" s="3292" t="str">
        <f>IF(I167+J167+K167+L167=0,"",AVERAGE(I167,J167,K167,L167))</f>
        <v/>
      </c>
      <c r="N167" s="3293"/>
      <c r="P167" s="665" t="str">
        <f>IF(M167="","",IF(M167&gt;Q163,"Yes",IF(M167&lt;Q163,"No","")))</f>
        <v/>
      </c>
    </row>
    <row r="168" spans="1:24" s="44" customFormat="1" ht="13.5" customHeight="1">
      <c r="A168" s="1102" t="s">
        <v>2456</v>
      </c>
      <c r="B168" s="1032" t="s">
        <v>4044</v>
      </c>
      <c r="D168" s="443" t="str">
        <f>IF(D164="","",D164)</f>
        <v>Richards Middle School</v>
      </c>
      <c r="G168" s="544" t="str">
        <f t="shared" si="4"/>
        <v>6-8</v>
      </c>
      <c r="H168" s="544" t="str">
        <f t="shared" si="4"/>
        <v>No</v>
      </c>
      <c r="I168" s="1135"/>
      <c r="J168" s="1136"/>
      <c r="K168" s="1136"/>
      <c r="L168" s="1137"/>
      <c r="M168" s="3290" t="str">
        <f>IF(I168+J168+K168+L168=0,"",AVERAGE(I168,J168,K168,L168))</f>
        <v/>
      </c>
      <c r="N168" s="3291"/>
      <c r="P168" s="666" t="str">
        <f>IF(M168="","",IF(M168&gt;Q164,"Yes",IF(M168&lt;Q164,"No","")))</f>
        <v/>
      </c>
    </row>
    <row r="169" spans="1:24" s="44" customFormat="1" ht="13.5" customHeight="1">
      <c r="A169" s="401" t="s">
        <v>2472</v>
      </c>
      <c r="B169" s="1032" t="s">
        <v>4043</v>
      </c>
      <c r="D169" s="443" t="str">
        <f>IF(D165="","",D165)</f>
        <v>Hardaway High School</v>
      </c>
      <c r="G169" s="544" t="str">
        <f t="shared" si="4"/>
        <v>9-12</v>
      </c>
      <c r="H169" s="544" t="str">
        <f t="shared" si="4"/>
        <v>No</v>
      </c>
      <c r="I169" s="1138"/>
      <c r="J169" s="1139"/>
      <c r="K169" s="1139"/>
      <c r="L169" s="1140"/>
      <c r="M169" s="3459" t="str">
        <f>IF(I169+J169+K169+L169=0,"",AVERAGE(I169,J169,K169,L169))</f>
        <v/>
      </c>
      <c r="N169" s="3460"/>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2002</v>
      </c>
      <c r="B171" s="10" t="s">
        <v>4047</v>
      </c>
      <c r="C171" s="95"/>
      <c r="D171" s="1191"/>
      <c r="E171" s="1191"/>
      <c r="F171" s="62" t="s">
        <v>3414</v>
      </c>
      <c r="H171" s="41" t="s">
        <v>3899</v>
      </c>
      <c r="M171" s="445">
        <v>2</v>
      </c>
      <c r="N171" s="181"/>
      <c r="O171" s="1194" t="str">
        <f>IF(AND(I180="Yes",I181="Yes"),$H$181,IF(AND(I180="Yes",I181="No"),$H$180,0))</f>
        <v>2.</v>
      </c>
      <c r="P171" s="1194">
        <f>IF(AND(J180="Yes",J181="Yes"),$H$181,IF(AND(J180="Yes",J181="No"),$H$180,0))</f>
        <v>0</v>
      </c>
      <c r="Q171" s="112"/>
      <c r="R171" s="1192"/>
    </row>
    <row r="172" spans="1:24" s="56" customFormat="1" ht="15" customHeight="1">
      <c r="E172" s="3360" t="s">
        <v>4222</v>
      </c>
      <c r="F172" s="3360" t="s">
        <v>3687</v>
      </c>
      <c r="G172" s="3363" t="s">
        <v>3422</v>
      </c>
      <c r="H172" s="3363"/>
      <c r="I172" s="3363"/>
      <c r="J172" s="3363"/>
      <c r="K172" s="3363"/>
      <c r="L172" s="3363"/>
      <c r="M172" s="3363"/>
      <c r="N172" s="3363"/>
      <c r="P172" s="1224"/>
      <c r="R172" s="430" t="s">
        <v>2852</v>
      </c>
      <c r="T172" s="3422" t="str">
        <f>'Part I-Project Information'!$F$38</f>
        <v>Columbus</v>
      </c>
      <c r="U172" s="3423"/>
      <c r="V172" s="3423"/>
      <c r="W172" s="3423"/>
      <c r="X172" s="3424"/>
    </row>
    <row r="173" spans="1:24" s="56" customFormat="1" ht="13.5" customHeight="1">
      <c r="A173" s="48"/>
      <c r="B173" s="3372" t="s">
        <v>4050</v>
      </c>
      <c r="C173" s="3372"/>
      <c r="D173" s="3372"/>
      <c r="E173" s="3584"/>
      <c r="F173" s="3584"/>
      <c r="G173" s="3362" t="s">
        <v>4049</v>
      </c>
      <c r="H173" s="3362"/>
      <c r="I173" s="3362"/>
      <c r="J173" s="3362"/>
      <c r="K173" s="3362"/>
      <c r="L173" s="3362"/>
      <c r="M173" s="3362"/>
      <c r="N173" s="3362"/>
      <c r="O173" s="3360" t="s">
        <v>3688</v>
      </c>
      <c r="P173" s="3360"/>
      <c r="R173" s="59" t="s">
        <v>2853</v>
      </c>
      <c r="T173" s="3350" t="str">
        <f>'Part I-Project Information'!$J$39</f>
        <v>Muscogee</v>
      </c>
      <c r="U173" s="3351"/>
      <c r="V173" s="3351"/>
      <c r="W173" s="3351"/>
      <c r="X173" s="3352"/>
    </row>
    <row r="174" spans="1:24" s="56" customFormat="1" ht="13.5" customHeight="1">
      <c r="A174" s="48"/>
      <c r="B174" s="3368" t="s">
        <v>3858</v>
      </c>
      <c r="C174" s="3368"/>
      <c r="D174" s="3368"/>
      <c r="E174" s="1600">
        <v>3000</v>
      </c>
      <c r="F174" s="1600">
        <v>6000</v>
      </c>
      <c r="G174" s="3353">
        <v>15000</v>
      </c>
      <c r="H174" s="3353"/>
      <c r="I174" s="3353"/>
      <c r="J174" s="3353"/>
      <c r="K174" s="3353"/>
      <c r="L174" s="3353"/>
      <c r="M174" s="3353"/>
      <c r="N174" s="3353"/>
      <c r="O174" s="3353">
        <v>20000</v>
      </c>
      <c r="P174" s="3353"/>
      <c r="R174" s="443" t="s">
        <v>2854</v>
      </c>
      <c r="T174" s="3350" t="str">
        <f>'Part I-Project Information'!$O$40</f>
        <v>Columbus</v>
      </c>
      <c r="U174" s="3351"/>
      <c r="V174" s="3351"/>
      <c r="W174" s="3351"/>
      <c r="X174" s="3352"/>
    </row>
    <row r="175" spans="1:24" s="37" customFormat="1" ht="13.5" customHeight="1">
      <c r="A175" s="48"/>
      <c r="B175" s="3383" t="s">
        <v>4048</v>
      </c>
      <c r="C175" s="3383"/>
      <c r="D175" s="3383"/>
      <c r="E175" s="1601">
        <v>4500</v>
      </c>
      <c r="F175" s="1601">
        <v>9000</v>
      </c>
      <c r="G175" s="3361">
        <v>22500</v>
      </c>
      <c r="H175" s="3361"/>
      <c r="I175" s="3361"/>
      <c r="J175" s="3361"/>
      <c r="K175" s="3361"/>
      <c r="L175" s="3361"/>
      <c r="M175" s="3361"/>
      <c r="N175" s="3361"/>
      <c r="O175" s="3361">
        <v>30000</v>
      </c>
      <c r="P175" s="3361"/>
      <c r="R175" s="41" t="s">
        <v>3892</v>
      </c>
      <c r="T175" s="3365" t="str">
        <f>VLOOKUP('Part I-Project Information'!$J$39,'DCA Underwriting Assumptions'!$G$155:$J$314,4)</f>
        <v>MSA</v>
      </c>
      <c r="U175" s="3366"/>
      <c r="V175" s="3366"/>
      <c r="W175" s="3366"/>
      <c r="X175" s="3367"/>
    </row>
    <row r="176" spans="1:24" s="56" customFormat="1" ht="9" customHeight="1">
      <c r="A176" s="48"/>
      <c r="B176" s="48"/>
      <c r="C176" s="430"/>
      <c r="K176" s="544"/>
      <c r="L176" s="544"/>
    </row>
    <row r="177" spans="1:24" s="56" customFormat="1" ht="13.5" customHeight="1">
      <c r="B177" s="959" t="s">
        <v>3893</v>
      </c>
      <c r="E177" s="958"/>
      <c r="F177" s="958"/>
      <c r="G177" s="958"/>
      <c r="I177" s="2226">
        <v>6000</v>
      </c>
      <c r="J177" s="1256"/>
      <c r="R177" s="56" t="s">
        <v>3653</v>
      </c>
      <c r="T177" s="3369" t="str">
        <f>'Part I-Project Information'!$K$40</f>
        <v>Urban</v>
      </c>
      <c r="U177" s="3370"/>
      <c r="V177" s="3370"/>
      <c r="W177" s="3370"/>
      <c r="X177" s="3371"/>
    </row>
    <row r="178" spans="1:24" s="56" customFormat="1" ht="13.5" customHeight="1">
      <c r="A178" s="961"/>
      <c r="B178" s="443" t="s">
        <v>3652</v>
      </c>
      <c r="H178" s="960" t="str">
        <f>IF(I178&lt;I177,"Threshold not met!","")</f>
        <v/>
      </c>
      <c r="I178" s="2227">
        <v>18778</v>
      </c>
      <c r="J178" s="1257"/>
      <c r="K178" s="1226" t="str">
        <f>IF(J178&lt;J177,"Threshold not met!","")</f>
        <v/>
      </c>
    </row>
    <row r="179" spans="1:24" s="56" customFormat="1" ht="8.25" customHeight="1">
      <c r="A179" s="961"/>
      <c r="B179" s="443"/>
    </row>
    <row r="180" spans="1:24" s="56" customFormat="1" ht="11.25" customHeight="1">
      <c r="B180" s="611" t="s">
        <v>2003</v>
      </c>
      <c r="C180" s="37" t="s">
        <v>4221</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4051</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3917</v>
      </c>
      <c r="D182" s="1354"/>
      <c r="E182" s="1354"/>
      <c r="F182" s="1354"/>
      <c r="G182" s="1225"/>
      <c r="I182" s="1275">
        <f>IF(I178="",0,(I178/I177) - 1)</f>
        <v>2.1296666666666666</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7"/>
    </row>
    <row r="185" spans="1:24" s="44" customFormat="1" ht="34.5" customHeight="1" thickTop="1" thickBot="1">
      <c r="A185" s="3380" t="s">
        <v>4734</v>
      </c>
      <c r="B185" s="3381"/>
      <c r="C185" s="3381"/>
      <c r="D185" s="3381"/>
      <c r="E185" s="3381"/>
      <c r="F185" s="3381"/>
      <c r="G185" s="3381"/>
      <c r="H185" s="3381"/>
      <c r="I185" s="3381"/>
      <c r="J185" s="3381"/>
      <c r="K185" s="3381"/>
      <c r="L185" s="3381"/>
      <c r="M185" s="3381"/>
      <c r="N185" s="3381"/>
      <c r="O185" s="3381"/>
      <c r="P185" s="3382"/>
      <c r="Q185" s="1174" t="s">
        <v>1266</v>
      </c>
    </row>
    <row r="186" spans="1:24" s="44" customFormat="1" ht="10.5" customHeight="1" thickTop="1">
      <c r="A186" s="43"/>
      <c r="B186" s="88" t="s">
        <v>1881</v>
      </c>
      <c r="C186" s="101"/>
      <c r="D186" s="88"/>
      <c r="E186" s="102"/>
      <c r="F186" s="1588"/>
      <c r="G186" s="1588"/>
      <c r="H186" s="1588"/>
      <c r="I186" s="1588"/>
      <c r="J186" s="1588"/>
      <c r="K186" s="1588"/>
      <c r="L186" s="1588"/>
      <c r="M186" s="1588"/>
      <c r="N186" s="77"/>
      <c r="O186" s="73"/>
      <c r="P186" s="1585"/>
      <c r="Q186" s="441"/>
    </row>
    <row r="187" spans="1:24" s="44" customFormat="1" ht="11.25" customHeight="1">
      <c r="A187" s="3093"/>
      <c r="B187" s="3094"/>
      <c r="C187" s="3094"/>
      <c r="D187" s="3094"/>
      <c r="E187" s="3094"/>
      <c r="F187" s="3094"/>
      <c r="G187" s="3094"/>
      <c r="H187" s="3094"/>
      <c r="I187" s="3094"/>
      <c r="J187" s="3094"/>
      <c r="K187" s="3094"/>
      <c r="L187" s="3094"/>
      <c r="M187" s="3094"/>
      <c r="N187" s="3094"/>
      <c r="O187" s="3094"/>
      <c r="P187" s="3095"/>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4057</v>
      </c>
      <c r="C189" s="95"/>
      <c r="D189" s="60"/>
      <c r="E189" s="60"/>
      <c r="H189" s="949" t="s">
        <v>4058</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4185</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3199" t="s">
        <v>4186</v>
      </c>
      <c r="D193" s="3199"/>
      <c r="E193" s="3199"/>
      <c r="F193" s="3199"/>
      <c r="G193" s="3199"/>
      <c r="H193" s="3199"/>
      <c r="I193" s="3199"/>
      <c r="J193" s="1102" t="s">
        <v>2452</v>
      </c>
      <c r="K193" s="2228"/>
      <c r="L193" s="1343"/>
      <c r="M193" s="3377" t="s">
        <v>3888</v>
      </c>
      <c r="N193" s="3378"/>
      <c r="O193" s="3378"/>
      <c r="P193" s="3379"/>
    </row>
    <row r="194" spans="1:25" s="44" customFormat="1" ht="10.5" customHeight="1">
      <c r="A194" s="388"/>
      <c r="B194" s="390"/>
      <c r="C194" s="3199"/>
      <c r="D194" s="3199"/>
      <c r="E194" s="3199"/>
      <c r="F194" s="3199"/>
      <c r="G194" s="3199"/>
      <c r="H194" s="3199"/>
      <c r="I194" s="3199"/>
      <c r="K194" s="1314"/>
      <c r="L194" s="1314"/>
    </row>
    <row r="195" spans="1:25" s="44" customFormat="1" ht="10.5" customHeight="1">
      <c r="A195" s="388"/>
      <c r="B195" s="402" t="s">
        <v>2453</v>
      </c>
      <c r="C195" s="3364" t="s">
        <v>3631</v>
      </c>
      <c r="D195" s="3364"/>
      <c r="E195" s="3364"/>
      <c r="F195" s="3364"/>
      <c r="G195" s="3364"/>
      <c r="J195" s="390" t="s">
        <v>2453</v>
      </c>
      <c r="K195" s="2229"/>
      <c r="L195" s="569"/>
      <c r="M195" s="3377" t="s">
        <v>3888</v>
      </c>
      <c r="N195" s="3378"/>
      <c r="O195" s="3378"/>
      <c r="P195" s="3379"/>
    </row>
    <row r="196" spans="1:25" s="406" customFormat="1" ht="10.5" customHeight="1">
      <c r="B196" s="402" t="s">
        <v>2454</v>
      </c>
      <c r="C196" s="1007" t="s">
        <v>2845</v>
      </c>
      <c r="D196" s="1007"/>
      <c r="E196" s="1007"/>
      <c r="F196" s="1007"/>
      <c r="G196" s="1007"/>
      <c r="H196" s="1007"/>
      <c r="J196" s="402" t="s">
        <v>2454</v>
      </c>
      <c r="K196" s="2229"/>
      <c r="L196" s="569"/>
      <c r="M196" s="3377" t="s">
        <v>3888</v>
      </c>
      <c r="N196" s="3378"/>
      <c r="O196" s="3378"/>
      <c r="P196" s="3379"/>
    </row>
    <row r="197" spans="1:25" s="406" customFormat="1" ht="10.5" customHeight="1">
      <c r="B197" s="402" t="s">
        <v>2455</v>
      </c>
      <c r="C197" s="1033" t="s">
        <v>4062</v>
      </c>
      <c r="D197" s="144"/>
      <c r="E197" s="144"/>
      <c r="F197" s="144"/>
      <c r="G197" s="144"/>
      <c r="H197" s="144"/>
      <c r="J197" s="402" t="s">
        <v>2455</v>
      </c>
      <c r="K197" s="2229"/>
      <c r="L197" s="569"/>
      <c r="M197" s="3377" t="s">
        <v>3888</v>
      </c>
      <c r="N197" s="3378"/>
      <c r="O197" s="3378"/>
      <c r="P197" s="3379"/>
    </row>
    <row r="198" spans="1:25" s="406" customFormat="1" ht="10.5" customHeight="1">
      <c r="B198" s="1102"/>
      <c r="D198" s="144" t="s">
        <v>4229</v>
      </c>
      <c r="E198" s="144"/>
      <c r="H198" s="144"/>
      <c r="J198" s="1102"/>
      <c r="K198" s="2230"/>
      <c r="L198" s="571"/>
    </row>
    <row r="199" spans="1:25" s="406" customFormat="1" ht="10.5" customHeight="1">
      <c r="B199" s="402" t="s">
        <v>2456</v>
      </c>
      <c r="C199" s="1007" t="s">
        <v>4052</v>
      </c>
      <c r="D199" s="1007"/>
      <c r="E199" s="1007"/>
      <c r="F199" s="1007"/>
      <c r="G199" s="1007"/>
      <c r="H199" s="1007"/>
      <c r="J199" s="402" t="s">
        <v>2456</v>
      </c>
      <c r="K199" s="2229"/>
      <c r="L199" s="569"/>
      <c r="M199" s="3377" t="s">
        <v>3888</v>
      </c>
      <c r="N199" s="3378"/>
      <c r="O199" s="3378"/>
      <c r="P199" s="3379"/>
    </row>
    <row r="200" spans="1:25" s="406" customFormat="1" ht="10.5" customHeight="1">
      <c r="B200" s="1102" t="s">
        <v>2472</v>
      </c>
      <c r="C200" s="1007" t="s">
        <v>2846</v>
      </c>
      <c r="D200" s="1007"/>
      <c r="E200" s="1007"/>
      <c r="F200" s="1007"/>
      <c r="G200" s="1007"/>
      <c r="J200" s="1102" t="s">
        <v>2472</v>
      </c>
      <c r="K200" s="2229"/>
      <c r="L200" s="569"/>
      <c r="M200" s="3377" t="s">
        <v>3888</v>
      </c>
      <c r="N200" s="3378"/>
      <c r="O200" s="3378"/>
      <c r="P200" s="3379"/>
    </row>
    <row r="201" spans="1:25" s="406" customFormat="1" ht="10.5" customHeight="1">
      <c r="B201" s="1102" t="s">
        <v>2473</v>
      </c>
      <c r="C201" s="1007" t="s">
        <v>4053</v>
      </c>
      <c r="D201" s="1007"/>
      <c r="E201" s="1007"/>
      <c r="F201" s="1007"/>
      <c r="J201" s="1102" t="s">
        <v>2473</v>
      </c>
      <c r="K201" s="2229"/>
      <c r="L201" s="569"/>
    </row>
    <row r="202" spans="1:25" s="406" customFormat="1" ht="10.5" customHeight="1">
      <c r="B202" s="402"/>
      <c r="C202" s="1007"/>
      <c r="D202" s="1096" t="s">
        <v>4054</v>
      </c>
      <c r="E202" s="1007"/>
      <c r="F202" s="2231"/>
      <c r="G202" s="1345"/>
      <c r="I202" s="1096" t="s">
        <v>4055</v>
      </c>
      <c r="K202" s="2232"/>
      <c r="L202" s="1344"/>
    </row>
    <row r="203" spans="1:25" s="406" customFormat="1" ht="10.5" customHeight="1">
      <c r="B203" s="1102" t="s">
        <v>2474</v>
      </c>
      <c r="C203" s="1007" t="s">
        <v>3809</v>
      </c>
      <c r="D203" s="1007"/>
      <c r="E203" s="1007"/>
      <c r="F203" s="1007"/>
      <c r="J203" s="1102" t="s">
        <v>2474</v>
      </c>
      <c r="K203" s="2228"/>
      <c r="L203" s="1343"/>
    </row>
    <row r="204" spans="1:25" ht="3" customHeight="1">
      <c r="A204" s="532"/>
      <c r="B204" s="495"/>
      <c r="D204" s="614"/>
      <c r="E204" s="495"/>
      <c r="G204" s="623"/>
      <c r="H204" s="624"/>
      <c r="I204" s="448"/>
      <c r="K204" s="910"/>
      <c r="N204" s="28"/>
      <c r="O204" s="28"/>
      <c r="P204" s="28"/>
    </row>
    <row r="205" spans="1:25" ht="11.25" customHeight="1">
      <c r="B205" s="1599" t="s">
        <v>4187</v>
      </c>
      <c r="E205" s="34"/>
      <c r="G205" s="3374"/>
      <c r="H205" s="3375"/>
      <c r="I205" s="3375"/>
      <c r="J205" s="3375"/>
      <c r="K205" s="3375"/>
      <c r="L205" s="3375"/>
      <c r="M205" s="3375"/>
      <c r="N205" s="3375"/>
      <c r="O205" s="3375"/>
      <c r="P205" s="3376"/>
      <c r="Q205" s="1192"/>
    </row>
    <row r="206" spans="1:25" ht="3.75" customHeight="1">
      <c r="B206" s="401"/>
      <c r="C206" s="515"/>
      <c r="K206" s="41"/>
      <c r="M206" s="388"/>
      <c r="N206" s="388"/>
      <c r="O206" s="388"/>
      <c r="P206" s="388"/>
    </row>
    <row r="207" spans="1:25" ht="11.25" customHeight="1">
      <c r="A207" s="143" t="s">
        <v>2000</v>
      </c>
      <c r="B207" s="184" t="s">
        <v>4056</v>
      </c>
      <c r="H207" s="164"/>
      <c r="I207" s="164"/>
      <c r="M207" s="445">
        <v>5</v>
      </c>
      <c r="N207" s="48" t="s">
        <v>2000</v>
      </c>
      <c r="O207" s="575">
        <f>SUM(O208:O209)</f>
        <v>0</v>
      </c>
      <c r="P207" s="575">
        <f>SUM(P208:P209)</f>
        <v>0</v>
      </c>
      <c r="Q207" s="1099"/>
      <c r="X207" s="388"/>
      <c r="Y207" s="390"/>
    </row>
    <row r="208" spans="1:25" ht="21.75" customHeight="1">
      <c r="A208" s="532"/>
      <c r="B208" s="621" t="s">
        <v>2003</v>
      </c>
      <c r="C208" s="3364" t="s">
        <v>3808</v>
      </c>
      <c r="D208" s="3364"/>
      <c r="E208" s="3364"/>
      <c r="F208" s="3364"/>
      <c r="G208" s="3364"/>
      <c r="H208" s="3364"/>
      <c r="I208" s="3364"/>
      <c r="J208" s="3364"/>
      <c r="K208" s="3364"/>
      <c r="L208" s="391" t="str">
        <f>IF(OR($O208=$M208,$O208=0,$O208=""),"","* * Check Score! * *")</f>
        <v/>
      </c>
      <c r="M208" s="1242">
        <v>3</v>
      </c>
      <c r="N208" s="499" t="s">
        <v>2003</v>
      </c>
      <c r="O208" s="2200"/>
      <c r="P208" s="913"/>
      <c r="Q208" s="1090" t="str">
        <f>IF(OR($O208=$M208,$O208=0,$O208=""),"","*CHECK!*")</f>
        <v/>
      </c>
      <c r="R208" s="1086" t="s">
        <v>2726</v>
      </c>
    </row>
    <row r="209" spans="1:23" ht="21.75" customHeight="1">
      <c r="A209" s="532"/>
      <c r="B209" s="621" t="s">
        <v>2005</v>
      </c>
      <c r="C209" s="3304" t="s">
        <v>4061</v>
      </c>
      <c r="D209" s="3304"/>
      <c r="E209" s="3304"/>
      <c r="F209" s="3304"/>
      <c r="G209" s="3304"/>
      <c r="H209" s="3304"/>
      <c r="I209" s="3304"/>
      <c r="J209" s="3304"/>
      <c r="K209" s="3304"/>
      <c r="L209" s="391" t="str">
        <f>IF(OR($O209=$M209,$O209=0,$O209=""),"","* * Check Score! * *")</f>
        <v/>
      </c>
      <c r="M209" s="1242">
        <v>2</v>
      </c>
      <c r="N209" s="499" t="s">
        <v>2005</v>
      </c>
      <c r="O209" s="2195"/>
      <c r="P209" s="1218"/>
      <c r="Q209" s="1090" t="str">
        <f>IF(OR($O209=$M209,$O209=0,$O209=""),"","*CHECK!*")</f>
        <v/>
      </c>
      <c r="R209" s="1086" t="s">
        <v>2726</v>
      </c>
    </row>
    <row r="210" spans="1:23" ht="10.5" customHeight="1">
      <c r="A210" s="532"/>
      <c r="B210" s="495"/>
      <c r="C210" s="495" t="s">
        <v>3807</v>
      </c>
      <c r="D210" s="164"/>
      <c r="E210" s="453" t="str">
        <f>'Part I-Project Information'!$N$39</f>
        <v>No</v>
      </c>
      <c r="G210" s="495" t="s">
        <v>3601</v>
      </c>
      <c r="I210" s="3373" t="str">
        <f>'Part I-Project Information'!$O$38</f>
        <v>11.00</v>
      </c>
      <c r="J210" s="3373"/>
      <c r="K210" s="448" t="s">
        <v>3398</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4059</v>
      </c>
      <c r="D212" s="34"/>
      <c r="K212" s="1277"/>
      <c r="L212" s="391" t="str">
        <f>IF(OR($O212=$M212,$O212=0,$O212=""),"","* * Check Score! * *")</f>
        <v/>
      </c>
      <c r="M212" s="445">
        <v>2</v>
      </c>
      <c r="N212" s="65" t="s">
        <v>2002</v>
      </c>
      <c r="O212" s="2201"/>
      <c r="P212" s="912"/>
      <c r="Q212" s="1090" t="str">
        <f>IF(OR($O212=$M212,$O212=0,$O212=""),"","*CHECK!*")</f>
        <v/>
      </c>
      <c r="R212" s="1086" t="s">
        <v>2726</v>
      </c>
    </row>
    <row r="213" spans="1:23" s="44" customFormat="1" ht="10.5" customHeight="1">
      <c r="A213" s="143"/>
      <c r="B213" s="37" t="s">
        <v>2814</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3889</v>
      </c>
      <c r="J214" s="3354"/>
      <c r="K214" s="3355"/>
      <c r="L214" s="3356"/>
      <c r="V214" s="1169"/>
      <c r="W214" s="1169"/>
    </row>
    <row r="215" spans="1:23" s="44" customFormat="1" ht="10.5" customHeight="1">
      <c r="A215" s="182"/>
      <c r="B215" s="495" t="s">
        <v>3890</v>
      </c>
      <c r="I215" s="960" t="str">
        <f>IF($J$215="Government", "Additional documentation required - see QAP.","")</f>
        <v/>
      </c>
      <c r="J215" s="3357"/>
      <c r="K215" s="3358"/>
      <c r="L215" s="3359"/>
      <c r="M215" s="1106" t="s">
        <v>3651</v>
      </c>
      <c r="N215" s="1107"/>
      <c r="O215" s="1107"/>
      <c r="P215" s="1108"/>
      <c r="V215" s="1169"/>
      <c r="W215" s="1169"/>
    </row>
    <row r="216" spans="1:23" ht="10.5" customHeight="1">
      <c r="A216" s="183"/>
      <c r="B216" s="495" t="s">
        <v>4245</v>
      </c>
      <c r="F216" s="1258"/>
      <c r="G216" s="1258"/>
      <c r="H216" s="1258"/>
      <c r="L216" s="2207"/>
      <c r="M216" s="3425"/>
      <c r="N216" s="3426"/>
      <c r="O216" s="3426"/>
      <c r="P216" s="3427"/>
      <c r="V216" s="1169"/>
      <c r="W216" s="1169"/>
    </row>
    <row r="217" spans="1:23" ht="10.5" customHeight="1">
      <c r="A217" s="183"/>
      <c r="B217" s="405" t="s">
        <v>3818</v>
      </c>
      <c r="G217" s="405"/>
      <c r="J217" s="2233"/>
      <c r="K217" s="1317" t="s">
        <v>3817</v>
      </c>
      <c r="L217" s="1258"/>
      <c r="V217" s="1169"/>
      <c r="W217" s="1169"/>
    </row>
    <row r="218" spans="1:23" ht="21.75" customHeight="1">
      <c r="A218" s="3314" t="s">
        <v>4226</v>
      </c>
      <c r="B218" s="3312" t="s">
        <v>4223</v>
      </c>
      <c r="C218" s="3313"/>
      <c r="D218" s="2638"/>
      <c r="E218" s="2639"/>
      <c r="F218" s="2639"/>
      <c r="G218" s="2639"/>
      <c r="H218" s="2639"/>
      <c r="I218" s="2639"/>
      <c r="J218" s="2639"/>
      <c r="K218" s="2639"/>
      <c r="L218" s="2639"/>
      <c r="M218" s="2639"/>
      <c r="N218" s="2639"/>
      <c r="O218" s="2639"/>
      <c r="P218" s="2641"/>
      <c r="Q218" s="461"/>
      <c r="V218" s="1169"/>
      <c r="W218" s="1169"/>
    </row>
    <row r="219" spans="1:23" ht="34.5" customHeight="1">
      <c r="A219" s="3315"/>
      <c r="B219" s="3485" t="s">
        <v>4224</v>
      </c>
      <c r="C219" s="3486"/>
      <c r="D219" s="2618"/>
      <c r="E219" s="2619"/>
      <c r="F219" s="2619"/>
      <c r="G219" s="2619"/>
      <c r="H219" s="2619"/>
      <c r="I219" s="2619"/>
      <c r="J219" s="2619"/>
      <c r="K219" s="2619"/>
      <c r="L219" s="2619"/>
      <c r="M219" s="2619"/>
      <c r="N219" s="2619"/>
      <c r="O219" s="2619"/>
      <c r="P219" s="2621"/>
      <c r="Q219" s="461"/>
      <c r="V219" s="1169"/>
      <c r="W219" s="1169"/>
    </row>
    <row r="220" spans="1:23" ht="42" customHeight="1">
      <c r="A220" s="3316"/>
      <c r="B220" s="3310" t="s">
        <v>4225</v>
      </c>
      <c r="C220" s="3311"/>
      <c r="D220" s="2625"/>
      <c r="E220" s="2626"/>
      <c r="F220" s="2626"/>
      <c r="G220" s="2626"/>
      <c r="H220" s="2626"/>
      <c r="I220" s="2626"/>
      <c r="J220" s="2626"/>
      <c r="K220" s="2626"/>
      <c r="L220" s="2626"/>
      <c r="M220" s="2626"/>
      <c r="N220" s="2626"/>
      <c r="O220" s="2626"/>
      <c r="P220" s="2628"/>
      <c r="Q220" s="461"/>
      <c r="V220" s="1169"/>
      <c r="W220" s="1169"/>
    </row>
    <row r="221" spans="1:23" ht="10.5" customHeight="1">
      <c r="B221" s="37" t="s">
        <v>3478</v>
      </c>
      <c r="G221" s="3475" t="s">
        <v>2647</v>
      </c>
      <c r="H221" s="3475"/>
      <c r="J221" s="3473"/>
      <c r="K221" s="3474"/>
      <c r="L221" s="3308"/>
      <c r="M221" s="3309"/>
      <c r="V221" s="1169"/>
      <c r="W221" s="1169"/>
    </row>
    <row r="222" spans="1:23" s="44" customFormat="1" ht="10.5" customHeight="1">
      <c r="A222" s="43"/>
      <c r="C222" s="37" t="s">
        <v>3479</v>
      </c>
      <c r="D222" s="1588"/>
      <c r="G222" s="3296">
        <f>'Part IV-A-Uses of Funds'!$G$132</f>
        <v>16105048</v>
      </c>
      <c r="H222" s="3297"/>
      <c r="J222" s="3294">
        <f>IF($J221=0,0,$J221/$G$222)</f>
        <v>0</v>
      </c>
      <c r="K222" s="3295"/>
      <c r="L222" s="3294">
        <f>IF($L221=0,0,$L221/$G$222)</f>
        <v>0</v>
      </c>
      <c r="M222" s="3295"/>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5"/>
    </row>
    <row r="224" spans="1:23" s="44" customFormat="1" ht="21.75" customHeight="1" thickTop="1" thickBot="1">
      <c r="A224" s="3380"/>
      <c r="B224" s="3381"/>
      <c r="C224" s="3381"/>
      <c r="D224" s="3381"/>
      <c r="E224" s="3381"/>
      <c r="F224" s="3381"/>
      <c r="G224" s="3381"/>
      <c r="H224" s="3381"/>
      <c r="I224" s="3381"/>
      <c r="J224" s="3381"/>
      <c r="K224" s="3381"/>
      <c r="L224" s="3381"/>
      <c r="M224" s="3381"/>
      <c r="N224" s="3381"/>
      <c r="O224" s="3381"/>
      <c r="P224" s="3382"/>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5"/>
      <c r="Q225" s="441"/>
    </row>
    <row r="226" spans="1:23" s="44" customFormat="1" ht="11.25" customHeight="1">
      <c r="A226" s="3093"/>
      <c r="B226" s="3094"/>
      <c r="C226" s="3094"/>
      <c r="D226" s="3094"/>
      <c r="E226" s="3094"/>
      <c r="F226" s="3094"/>
      <c r="G226" s="3094"/>
      <c r="H226" s="3094"/>
      <c r="I226" s="3094"/>
      <c r="J226" s="3094"/>
      <c r="K226" s="3094"/>
      <c r="L226" s="3094"/>
      <c r="M226" s="3094"/>
      <c r="N226" s="3094"/>
      <c r="O226" s="3094"/>
      <c r="P226" s="3095"/>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4060</v>
      </c>
      <c r="C228" s="1588"/>
      <c r="D228" s="1588"/>
      <c r="E228" s="1588"/>
      <c r="F228" s="1588"/>
      <c r="G228" s="1588"/>
      <c r="H228" s="1588"/>
      <c r="I228" s="1588"/>
      <c r="J228" s="1588"/>
      <c r="K228" s="1592" t="s">
        <v>3268</v>
      </c>
      <c r="L228" s="1592" t="s">
        <v>258</v>
      </c>
      <c r="M228" s="941">
        <v>3</v>
      </c>
      <c r="N228" s="77"/>
      <c r="O228" s="73"/>
      <c r="P228" s="1231"/>
      <c r="Q228" s="112" t="s">
        <v>443</v>
      </c>
      <c r="R228" s="1086" t="s">
        <v>2726</v>
      </c>
    </row>
    <row r="229" spans="1:23" s="44" customFormat="1" ht="11.25" customHeight="1">
      <c r="A229" s="143"/>
      <c r="B229" s="116" t="s">
        <v>4063</v>
      </c>
      <c r="D229" s="56" t="s">
        <v>4064</v>
      </c>
      <c r="K229" s="1293">
        <f>$O$189</f>
        <v>0</v>
      </c>
      <c r="L229" s="1294">
        <f>$P$189</f>
        <v>0</v>
      </c>
      <c r="N229" s="484" t="s">
        <v>2452</v>
      </c>
      <c r="O229" s="2193"/>
      <c r="P229" s="1005"/>
      <c r="R229" s="391"/>
    </row>
    <row r="230" spans="1:23" s="44" customFormat="1" ht="11.25" customHeight="1">
      <c r="A230" s="143"/>
      <c r="D230" s="56" t="s">
        <v>4065</v>
      </c>
      <c r="K230" s="1293">
        <f>$O$111</f>
        <v>3</v>
      </c>
      <c r="L230" s="1294">
        <f>$P$111</f>
        <v>0</v>
      </c>
      <c r="N230" s="484" t="s">
        <v>2453</v>
      </c>
      <c r="O230" s="2196"/>
      <c r="P230" s="562"/>
      <c r="R230" s="1169"/>
      <c r="S230" s="1169"/>
    </row>
    <row r="231" spans="1:23" s="44" customFormat="1" ht="11.25" customHeight="1">
      <c r="A231" s="143"/>
      <c r="D231" s="56" t="s">
        <v>4066</v>
      </c>
      <c r="N231" s="484" t="s">
        <v>2454</v>
      </c>
      <c r="O231" s="2192"/>
      <c r="P231" s="562"/>
      <c r="R231" s="1169"/>
      <c r="S231" s="1169"/>
    </row>
    <row r="232" spans="1:23" s="44" customFormat="1" ht="11.25" customHeight="1">
      <c r="A232" s="143"/>
      <c r="D232" s="56" t="s">
        <v>4067</v>
      </c>
      <c r="N232" s="484" t="s">
        <v>2455</v>
      </c>
      <c r="O232" s="484"/>
      <c r="P232" s="962"/>
      <c r="R232" s="1169"/>
      <c r="S232" s="1169"/>
    </row>
    <row r="233" spans="1:23" s="44" customFormat="1" ht="11.25" customHeight="1">
      <c r="A233" s="143"/>
      <c r="D233" s="56" t="s">
        <v>4068</v>
      </c>
      <c r="N233" s="484" t="s">
        <v>2456</v>
      </c>
      <c r="O233" s="2209"/>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2000</v>
      </c>
      <c r="B235" s="184" t="s">
        <v>4070</v>
      </c>
      <c r="D235" s="34"/>
      <c r="G235" s="495" t="s">
        <v>3813</v>
      </c>
      <c r="N235" s="28"/>
      <c r="O235" s="28"/>
      <c r="P235" s="28"/>
      <c r="Q235" s="1099"/>
    </row>
    <row r="236" spans="1:23" s="34" customFormat="1" ht="10.5" customHeight="1">
      <c r="A236" s="532"/>
      <c r="B236" s="139" t="s">
        <v>3894</v>
      </c>
      <c r="D236" s="3481"/>
      <c r="E236" s="3482"/>
      <c r="F236" s="3482"/>
      <c r="G236" s="3417"/>
      <c r="H236" s="3483"/>
      <c r="I236" s="1595" t="s">
        <v>2724</v>
      </c>
      <c r="J236" s="3481"/>
      <c r="K236" s="3482"/>
      <c r="L236" s="3482"/>
      <c r="M236" s="3482"/>
      <c r="N236" s="3483"/>
      <c r="O236" s="605"/>
      <c r="P236" s="605"/>
      <c r="Q236" s="1099"/>
    </row>
    <row r="237" spans="1:23" s="34" customFormat="1" ht="10.5" customHeight="1">
      <c r="A237" s="532"/>
      <c r="B237" s="139" t="s">
        <v>2211</v>
      </c>
      <c r="D237" s="3476"/>
      <c r="E237" s="3477"/>
      <c r="F237" s="3478"/>
      <c r="G237" s="139" t="s">
        <v>1734</v>
      </c>
      <c r="H237" s="2234"/>
      <c r="I237" s="448" t="s">
        <v>1813</v>
      </c>
      <c r="J237" s="3476"/>
      <c r="K237" s="3477"/>
      <c r="L237" s="3477"/>
      <c r="M237" s="3477"/>
      <c r="N237" s="3478"/>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4069</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98"/>
      <c r="B240" s="655"/>
      <c r="C240" s="3303" t="s">
        <v>4080</v>
      </c>
      <c r="D240" s="3303"/>
      <c r="E240" s="3303"/>
      <c r="F240" s="3303"/>
      <c r="G240" s="3303"/>
      <c r="H240" s="3303"/>
      <c r="I240" s="3303"/>
      <c r="J240" s="3303"/>
      <c r="K240" s="3303"/>
      <c r="L240" s="3303"/>
      <c r="N240" s="404" t="s">
        <v>2003</v>
      </c>
      <c r="O240" s="2235"/>
      <c r="P240" s="1262"/>
      <c r="Q240" s="1096"/>
      <c r="R240" s="28"/>
      <c r="S240" s="1177"/>
      <c r="V240" s="1169"/>
      <c r="W240" s="1169"/>
    </row>
    <row r="241" spans="1:23" s="34" customFormat="1" ht="10.5" customHeight="1">
      <c r="A241" s="532"/>
      <c r="B241" s="484" t="s">
        <v>2452</v>
      </c>
      <c r="C241" s="139" t="s">
        <v>4071</v>
      </c>
      <c r="D241" s="3541"/>
      <c r="E241" s="3542"/>
      <c r="F241" s="3542"/>
      <c r="G241" s="3482"/>
      <c r="H241" s="3543"/>
      <c r="I241" s="1595" t="s">
        <v>2724</v>
      </c>
      <c r="J241" s="3541"/>
      <c r="K241" s="3542"/>
      <c r="L241" s="3542"/>
      <c r="M241" s="3542"/>
      <c r="N241" s="3543"/>
      <c r="O241" s="3479" t="s">
        <v>4073</v>
      </c>
      <c r="P241" s="3480"/>
      <c r="Q241" s="1096"/>
      <c r="R241" s="28"/>
      <c r="V241" s="1169"/>
      <c r="W241" s="1169"/>
    </row>
    <row r="242" spans="1:23" s="34" customFormat="1" ht="10.5" customHeight="1">
      <c r="A242" s="532"/>
      <c r="C242" s="1179" t="s">
        <v>2211</v>
      </c>
      <c r="D242" s="3476"/>
      <c r="E242" s="3477"/>
      <c r="F242" s="3478"/>
      <c r="G242" s="1260" t="s">
        <v>1734</v>
      </c>
      <c r="H242" s="2234"/>
      <c r="I242" s="1178" t="s">
        <v>1813</v>
      </c>
      <c r="J242" s="3476"/>
      <c r="K242" s="3477"/>
      <c r="L242" s="3477"/>
      <c r="M242" s="3477"/>
      <c r="N242" s="3478"/>
      <c r="O242" s="2192"/>
      <c r="P242" s="563"/>
      <c r="Q242" s="1096"/>
      <c r="R242" s="28"/>
      <c r="V242" s="1169"/>
      <c r="W242" s="1169"/>
    </row>
    <row r="243" spans="1:23" s="34" customFormat="1" ht="10.5" customHeight="1">
      <c r="A243" s="532"/>
      <c r="B243" s="484" t="s">
        <v>2453</v>
      </c>
      <c r="C243" s="139" t="s">
        <v>4072</v>
      </c>
      <c r="D243" s="3541"/>
      <c r="E243" s="3542"/>
      <c r="F243" s="3542"/>
      <c r="G243" s="3482"/>
      <c r="H243" s="3543"/>
      <c r="I243" s="1595" t="s">
        <v>2724</v>
      </c>
      <c r="J243" s="3541"/>
      <c r="K243" s="3542"/>
      <c r="L243" s="3542"/>
      <c r="M243" s="3542"/>
      <c r="N243" s="3543"/>
      <c r="O243" s="3479" t="s">
        <v>4073</v>
      </c>
      <c r="P243" s="3480"/>
      <c r="Q243" s="1096"/>
      <c r="R243" s="28"/>
      <c r="V243" s="1169"/>
      <c r="W243" s="1169"/>
    </row>
    <row r="244" spans="1:23" s="34" customFormat="1" ht="10.5" customHeight="1">
      <c r="A244" s="532"/>
      <c r="C244" s="1179" t="s">
        <v>2211</v>
      </c>
      <c r="D244" s="3476"/>
      <c r="E244" s="3477"/>
      <c r="F244" s="3478"/>
      <c r="G244" s="1260" t="s">
        <v>1734</v>
      </c>
      <c r="H244" s="2234"/>
      <c r="I244" s="1178" t="s">
        <v>1813</v>
      </c>
      <c r="J244" s="3476"/>
      <c r="K244" s="3477"/>
      <c r="L244" s="3477"/>
      <c r="M244" s="3477"/>
      <c r="N244" s="3478"/>
      <c r="O244" s="2192"/>
      <c r="P244" s="563"/>
      <c r="Q244" s="1096"/>
      <c r="R244" s="28"/>
      <c r="V244" s="1169"/>
      <c r="W244" s="1169"/>
    </row>
    <row r="245" spans="1:23" ht="11.25" customHeight="1">
      <c r="A245" s="532"/>
      <c r="B245" s="621" t="s">
        <v>2005</v>
      </c>
      <c r="C245" s="1101" t="s">
        <v>4074</v>
      </c>
      <c r="D245" s="1096"/>
      <c r="E245" s="1096"/>
      <c r="F245" s="1096"/>
      <c r="G245" s="495" t="s">
        <v>3813</v>
      </c>
      <c r="H245" s="1096"/>
      <c r="I245" s="1096"/>
      <c r="J245" s="1096"/>
      <c r="K245" s="1096"/>
      <c r="L245" s="1096"/>
      <c r="M245" s="1096"/>
      <c r="N245" s="1096"/>
      <c r="O245" s="540" t="s">
        <v>2528</v>
      </c>
      <c r="P245" s="540" t="s">
        <v>2528</v>
      </c>
      <c r="Q245" s="1096"/>
    </row>
    <row r="246" spans="1:23" ht="21.75" customHeight="1">
      <c r="A246" s="532"/>
      <c r="B246" s="1103"/>
      <c r="C246" s="3199" t="s">
        <v>4189</v>
      </c>
      <c r="D246" s="3199"/>
      <c r="E246" s="3199"/>
      <c r="F246" s="3199"/>
      <c r="G246" s="3199"/>
      <c r="H246" s="3199"/>
      <c r="I246" s="3199"/>
      <c r="J246" s="3199"/>
      <c r="K246" s="3199"/>
      <c r="L246" s="3199"/>
      <c r="M246" s="3199"/>
      <c r="N246" s="404" t="s">
        <v>2005</v>
      </c>
      <c r="O246" s="2235"/>
      <c r="P246" s="1262"/>
      <c r="Q246" s="1100"/>
      <c r="V246" s="1169"/>
      <c r="W246" s="1169"/>
    </row>
    <row r="247" spans="1:23" ht="11.25" customHeight="1">
      <c r="A247" s="532"/>
      <c r="B247" s="484" t="s">
        <v>2452</v>
      </c>
      <c r="C247" s="1105" t="s">
        <v>4190</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3298"/>
      <c r="D248" s="3299"/>
      <c r="E248" s="3299"/>
      <c r="F248" s="3299"/>
      <c r="G248" s="3299"/>
      <c r="H248" s="3299"/>
      <c r="I248" s="3299"/>
      <c r="J248" s="3299"/>
      <c r="K248" s="3299"/>
      <c r="L248" s="3299"/>
      <c r="M248" s="3299"/>
      <c r="N248" s="3299"/>
      <c r="O248" s="3299"/>
      <c r="P248" s="3300"/>
      <c r="Q248" s="1174"/>
      <c r="V248" s="1169"/>
      <c r="W248" s="1169"/>
    </row>
    <row r="249" spans="1:23" ht="10.5" customHeight="1">
      <c r="A249" s="532"/>
      <c r="B249" s="1103"/>
      <c r="C249" s="3338"/>
      <c r="D249" s="3339"/>
      <c r="E249" s="3339"/>
      <c r="F249" s="3339"/>
      <c r="G249" s="3339"/>
      <c r="H249" s="3339"/>
      <c r="I249" s="3339"/>
      <c r="J249" s="3339"/>
      <c r="K249" s="3339"/>
      <c r="L249" s="3339"/>
      <c r="M249" s="3339"/>
      <c r="N249" s="3339"/>
      <c r="O249" s="3339"/>
      <c r="P249" s="3340"/>
      <c r="Q249" s="1100"/>
      <c r="V249" s="1169"/>
      <c r="W249" s="1169"/>
    </row>
    <row r="250" spans="1:23" ht="10.5" customHeight="1">
      <c r="A250" s="532"/>
      <c r="B250" s="1103"/>
      <c r="C250" s="3333"/>
      <c r="D250" s="3334"/>
      <c r="E250" s="3334"/>
      <c r="F250" s="3334"/>
      <c r="G250" s="3334"/>
      <c r="H250" s="3334"/>
      <c r="I250" s="3334"/>
      <c r="J250" s="3334"/>
      <c r="K250" s="3334"/>
      <c r="L250" s="3334"/>
      <c r="M250" s="3334"/>
      <c r="N250" s="3334"/>
      <c r="O250" s="3334"/>
      <c r="P250" s="3335"/>
      <c r="Q250" s="1100"/>
      <c r="V250" s="1169"/>
      <c r="W250" s="1169"/>
    </row>
    <row r="251" spans="1:23" ht="11.25" customHeight="1">
      <c r="A251" s="532"/>
      <c r="B251" s="484" t="s">
        <v>2453</v>
      </c>
      <c r="C251" s="1105" t="s">
        <v>4188</v>
      </c>
      <c r="D251" s="1596"/>
      <c r="E251" s="1596"/>
      <c r="F251" s="1596"/>
      <c r="G251" s="1596"/>
      <c r="H251" s="1596"/>
      <c r="I251" s="1596"/>
      <c r="J251" s="1596"/>
      <c r="K251" s="1596"/>
      <c r="L251" s="3549" t="s">
        <v>4192</v>
      </c>
      <c r="M251" s="3549"/>
      <c r="N251" s="3550" t="s">
        <v>4193</v>
      </c>
      <c r="O251" s="3550"/>
      <c r="P251" s="3550"/>
      <c r="Q251" s="1100"/>
      <c r="V251" s="1169"/>
      <c r="W251" s="1169"/>
    </row>
    <row r="252" spans="1:23" ht="10.5" customHeight="1">
      <c r="A252" s="532"/>
      <c r="B252" s="1103"/>
      <c r="C252" s="3298"/>
      <c r="D252" s="3299"/>
      <c r="E252" s="3299"/>
      <c r="F252" s="3299"/>
      <c r="G252" s="3299"/>
      <c r="H252" s="3299"/>
      <c r="I252" s="3299"/>
      <c r="J252" s="3299"/>
      <c r="K252" s="3300"/>
      <c r="L252" s="3298"/>
      <c r="M252" s="3300"/>
      <c r="N252" s="3298"/>
      <c r="O252" s="3299"/>
      <c r="P252" s="3300"/>
      <c r="Q252" s="1174"/>
      <c r="V252" s="1169"/>
      <c r="W252" s="1169"/>
    </row>
    <row r="253" spans="1:23" ht="10.5" customHeight="1">
      <c r="A253" s="532"/>
      <c r="B253" s="1103"/>
      <c r="C253" s="3338"/>
      <c r="D253" s="3339"/>
      <c r="E253" s="3339"/>
      <c r="F253" s="3339"/>
      <c r="G253" s="3339"/>
      <c r="H253" s="3339"/>
      <c r="I253" s="3339"/>
      <c r="J253" s="3339"/>
      <c r="K253" s="3340"/>
      <c r="L253" s="3338"/>
      <c r="M253" s="3340"/>
      <c r="N253" s="3338"/>
      <c r="O253" s="3339"/>
      <c r="P253" s="3340"/>
      <c r="Q253" s="1100"/>
      <c r="V253" s="1169"/>
      <c r="W253" s="1169"/>
    </row>
    <row r="254" spans="1:23" ht="10.5" customHeight="1">
      <c r="A254" s="532"/>
      <c r="B254" s="1103"/>
      <c r="C254" s="3333"/>
      <c r="D254" s="3334"/>
      <c r="E254" s="3334"/>
      <c r="F254" s="3334"/>
      <c r="G254" s="3334"/>
      <c r="H254" s="3334"/>
      <c r="I254" s="3334"/>
      <c r="J254" s="3334"/>
      <c r="K254" s="3335"/>
      <c r="L254" s="3333"/>
      <c r="M254" s="3335"/>
      <c r="N254" s="3333"/>
      <c r="O254" s="3334"/>
      <c r="P254" s="3335"/>
      <c r="Q254" s="1100"/>
      <c r="V254" s="1169"/>
      <c r="W254" s="1169"/>
    </row>
    <row r="255" spans="1:23" ht="10.5" customHeight="1">
      <c r="A255" s="532"/>
      <c r="B255" s="621" t="s">
        <v>2552</v>
      </c>
      <c r="C255" s="1101" t="s">
        <v>4075</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03" t="s">
        <v>4079</v>
      </c>
      <c r="D256" s="3303"/>
      <c r="E256" s="3303"/>
      <c r="F256" s="3303"/>
      <c r="G256" s="3303"/>
      <c r="H256" s="3303"/>
      <c r="I256" s="3303"/>
      <c r="J256" s="3303"/>
      <c r="K256" s="3303"/>
      <c r="L256" s="3303"/>
      <c r="M256" s="3303"/>
      <c r="N256" s="404" t="s">
        <v>2552</v>
      </c>
      <c r="O256" s="2209"/>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3364" t="s">
        <v>4081</v>
      </c>
      <c r="D258" s="3364"/>
      <c r="E258" s="3364"/>
      <c r="F258" s="3364"/>
      <c r="G258" s="3364"/>
      <c r="H258" s="3364"/>
      <c r="I258" s="3364"/>
      <c r="J258" s="3364"/>
      <c r="K258" s="3364"/>
      <c r="L258" s="3364"/>
      <c r="M258" s="3364"/>
      <c r="N258" s="404" t="s">
        <v>1236</v>
      </c>
      <c r="O258" s="2236"/>
      <c r="P258" s="1261"/>
      <c r="Q258" s="1100"/>
      <c r="V258" s="1169"/>
      <c r="W258" s="1169"/>
    </row>
    <row r="259" spans="1:23" s="34" customFormat="1" ht="10.5" customHeight="1">
      <c r="A259" s="532"/>
      <c r="B259" s="401" t="s">
        <v>2452</v>
      </c>
      <c r="C259" s="3303" t="s">
        <v>4082</v>
      </c>
      <c r="D259" s="3303"/>
      <c r="E259" s="3303"/>
      <c r="F259" s="3303"/>
      <c r="G259" s="3303"/>
      <c r="H259" s="3303"/>
      <c r="I259" s="3303"/>
      <c r="J259" s="3303"/>
      <c r="K259" s="3303"/>
      <c r="L259" s="3303"/>
      <c r="M259" s="3303"/>
      <c r="N259" s="401" t="s">
        <v>2452</v>
      </c>
      <c r="O259" s="2196"/>
      <c r="P259" s="562"/>
      <c r="Q259" s="1100"/>
      <c r="V259" s="1169"/>
      <c r="W259" s="1169"/>
    </row>
    <row r="260" spans="1:23" s="34" customFormat="1" ht="10.5" customHeight="1">
      <c r="A260" s="532"/>
      <c r="B260" s="401" t="s">
        <v>2453</v>
      </c>
      <c r="C260" s="3303" t="s">
        <v>4083</v>
      </c>
      <c r="D260" s="3303"/>
      <c r="E260" s="3303"/>
      <c r="F260" s="3303"/>
      <c r="G260" s="3303"/>
      <c r="H260" s="3303"/>
      <c r="I260" s="3303"/>
      <c r="J260" s="3303"/>
      <c r="K260" s="3303"/>
      <c r="L260" s="3303"/>
      <c r="M260" s="3303"/>
      <c r="N260" s="401" t="s">
        <v>2453</v>
      </c>
      <c r="O260" s="2192"/>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2002</v>
      </c>
      <c r="B262" s="184" t="s">
        <v>4076</v>
      </c>
      <c r="D262" s="34"/>
      <c r="G262" s="495" t="s">
        <v>3813</v>
      </c>
      <c r="N262" s="28"/>
      <c r="O262" s="540" t="s">
        <v>2528</v>
      </c>
      <c r="P262" s="540" t="s">
        <v>2528</v>
      </c>
      <c r="Q262" s="1099"/>
    </row>
    <row r="263" spans="1:23" ht="21.75" customHeight="1">
      <c r="A263" s="532"/>
      <c r="B263" s="621" t="s">
        <v>2003</v>
      </c>
      <c r="C263" s="3199" t="s">
        <v>4077</v>
      </c>
      <c r="D263" s="3199"/>
      <c r="E263" s="3199"/>
      <c r="F263" s="3199"/>
      <c r="G263" s="3199"/>
      <c r="H263" s="3199"/>
      <c r="I263" s="3199"/>
      <c r="J263" s="3199"/>
      <c r="K263" s="3199"/>
      <c r="L263" s="3199"/>
      <c r="M263" s="1232" t="s">
        <v>2002</v>
      </c>
      <c r="N263" s="404" t="s">
        <v>2003</v>
      </c>
      <c r="O263" s="2236"/>
      <c r="P263" s="1261"/>
      <c r="Q263" s="1099"/>
      <c r="V263" s="1169"/>
      <c r="W263" s="1169"/>
    </row>
    <row r="264" spans="1:23" s="34" customFormat="1" ht="10.5" customHeight="1">
      <c r="A264" s="532"/>
      <c r="B264" s="621" t="s">
        <v>2005</v>
      </c>
      <c r="C264" s="448" t="s">
        <v>4078</v>
      </c>
      <c r="D264" s="1041"/>
      <c r="E264" s="1041"/>
      <c r="F264" s="1041"/>
      <c r="G264" s="1041"/>
      <c r="H264" s="1041"/>
      <c r="I264" s="1041"/>
      <c r="J264" s="1041"/>
      <c r="K264" s="1041"/>
      <c r="L264" s="1041"/>
      <c r="M264" s="1041"/>
      <c r="N264" s="404" t="s">
        <v>2005</v>
      </c>
      <c r="O264" s="2192"/>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7"/>
    </row>
    <row r="266" spans="1:23" s="44" customFormat="1" ht="21.75" customHeight="1" thickTop="1" thickBot="1">
      <c r="A266" s="3305" t="s">
        <v>4552</v>
      </c>
      <c r="B266" s="3306"/>
      <c r="C266" s="3306"/>
      <c r="D266" s="3306"/>
      <c r="E266" s="3306"/>
      <c r="F266" s="3306"/>
      <c r="G266" s="3306"/>
      <c r="H266" s="3306"/>
      <c r="I266" s="3306"/>
      <c r="J266" s="3306"/>
      <c r="K266" s="3306"/>
      <c r="L266" s="3306"/>
      <c r="M266" s="3306"/>
      <c r="N266" s="3306"/>
      <c r="O266" s="3306"/>
      <c r="P266" s="3307"/>
      <c r="Q266" s="1174" t="s">
        <v>1266</v>
      </c>
    </row>
    <row r="267" spans="1:23" s="44" customFormat="1" ht="10.5" customHeight="1" thickTop="1">
      <c r="A267" s="43"/>
      <c r="B267" s="88" t="s">
        <v>1881</v>
      </c>
      <c r="C267" s="43"/>
      <c r="D267" s="88"/>
      <c r="E267" s="1588"/>
      <c r="F267" s="1588"/>
      <c r="G267" s="1588"/>
      <c r="H267" s="1588"/>
      <c r="I267" s="1588"/>
      <c r="J267" s="1588"/>
      <c r="K267" s="1588"/>
      <c r="L267" s="1588"/>
      <c r="M267" s="1588"/>
      <c r="N267" s="77"/>
      <c r="O267" s="73"/>
      <c r="P267" s="1585"/>
      <c r="Q267" s="441"/>
    </row>
    <row r="268" spans="1:23" s="44" customFormat="1" ht="11.25" customHeight="1">
      <c r="A268" s="3419"/>
      <c r="B268" s="3420"/>
      <c r="C268" s="3420"/>
      <c r="D268" s="3420"/>
      <c r="E268" s="3420"/>
      <c r="F268" s="3420"/>
      <c r="G268" s="3420"/>
      <c r="H268" s="3420"/>
      <c r="I268" s="3420"/>
      <c r="J268" s="3420"/>
      <c r="K268" s="3420"/>
      <c r="L268" s="3420"/>
      <c r="M268" s="3420"/>
      <c r="N268" s="3420"/>
      <c r="O268" s="3420"/>
      <c r="P268" s="3421"/>
      <c r="Q268" s="461"/>
    </row>
    <row r="269" spans="1:23" ht="3.6" customHeight="1" thickBot="1">
      <c r="B269" s="120"/>
      <c r="C269" s="120"/>
      <c r="D269" s="120"/>
      <c r="E269" s="120"/>
    </row>
    <row r="270" spans="1:23" s="105" customFormat="1" ht="12.6" customHeight="1" thickBot="1">
      <c r="A270" s="158" t="s">
        <v>364</v>
      </c>
      <c r="B270" s="109" t="s">
        <v>2806</v>
      </c>
      <c r="C270" s="95"/>
      <c r="D270" s="60"/>
      <c r="E270" s="60"/>
      <c r="H270" s="179" t="s">
        <v>4233</v>
      </c>
      <c r="M270" s="1585">
        <v>7</v>
      </c>
      <c r="N270" s="7"/>
      <c r="O270" s="1252">
        <f>O272+O280+O282</f>
        <v>7</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72" t="s">
        <v>3627</v>
      </c>
      <c r="B272" s="921" t="s">
        <v>3625</v>
      </c>
      <c r="C272" s="95"/>
      <c r="D272" s="60"/>
      <c r="E272" s="60"/>
      <c r="H272" s="179"/>
      <c r="M272" s="1235">
        <v>3</v>
      </c>
      <c r="N272" s="3546" t="s">
        <v>4087</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3472"/>
      <c r="B273" s="113" t="s">
        <v>2814</v>
      </c>
      <c r="C273" s="536"/>
      <c r="D273" s="536"/>
      <c r="H273" s="537" t="str">
        <f>'Part I-Project Information'!$H$100</f>
        <v>Flexible</v>
      </c>
      <c r="N273" s="3546"/>
      <c r="O273" s="1297" t="s">
        <v>2528</v>
      </c>
      <c r="P273" s="1297" t="s">
        <v>2528</v>
      </c>
    </row>
    <row r="274" spans="1:21" ht="11.45" customHeight="1">
      <c r="A274" s="3472"/>
      <c r="B274" s="942" t="s">
        <v>2003</v>
      </c>
      <c r="C274" s="454" t="s">
        <v>2703</v>
      </c>
      <c r="E274" s="120"/>
      <c r="M274" s="83"/>
      <c r="N274" s="3546"/>
      <c r="O274" s="2209" t="s">
        <v>3012</v>
      </c>
      <c r="P274" s="560"/>
      <c r="Q274" s="3540" t="str">
        <f>IF(AND(O274="Yes",O277="Yes"),"Only 1 or 4 can be 'Yes'!","")</f>
        <v/>
      </c>
      <c r="R274" s="3540"/>
    </row>
    <row r="275" spans="1:21" ht="11.45" customHeight="1">
      <c r="B275" s="942" t="s">
        <v>2005</v>
      </c>
      <c r="C275" s="454" t="s">
        <v>2759</v>
      </c>
      <c r="G275" s="103" t="s">
        <v>2406</v>
      </c>
      <c r="H275" s="2237">
        <v>0.05</v>
      </c>
      <c r="I275" s="454" t="s">
        <v>2760</v>
      </c>
      <c r="L275" s="139" t="s">
        <v>2758</v>
      </c>
      <c r="M275" s="944" t="str">
        <f>IF(O275&gt;H275,"CHECK ACTUAL PERCENT!!!","")</f>
        <v/>
      </c>
      <c r="N275" s="181" t="s">
        <v>2005</v>
      </c>
      <c r="O275" s="2238">
        <v>4.3299999999999998E-2</v>
      </c>
      <c r="P275" s="1287"/>
      <c r="Q275" s="3540"/>
      <c r="R275" s="3540"/>
    </row>
    <row r="276" spans="1:21" ht="11.45" customHeight="1">
      <c r="B276" s="942" t="s">
        <v>2552</v>
      </c>
      <c r="C276" s="430" t="s">
        <v>2407</v>
      </c>
      <c r="E276" s="120"/>
      <c r="G276" s="103" t="s">
        <v>2408</v>
      </c>
      <c r="L276" s="448" t="s">
        <v>2752</v>
      </c>
      <c r="M276" s="34"/>
      <c r="N276" s="181" t="s">
        <v>2552</v>
      </c>
      <c r="O276" s="2239" t="s">
        <v>4560</v>
      </c>
      <c r="P276" s="1357" t="s">
        <v>203</v>
      </c>
      <c r="Q276" s="3540"/>
      <c r="R276" s="3540"/>
    </row>
    <row r="277" spans="1:21" s="406" customFormat="1" ht="11.45" customHeight="1">
      <c r="B277" s="621" t="s">
        <v>1236</v>
      </c>
      <c r="C277" s="3199" t="s">
        <v>4085</v>
      </c>
      <c r="D277" s="3199"/>
      <c r="E277" s="3199"/>
      <c r="F277" s="3199"/>
      <c r="G277" s="3199"/>
      <c r="H277" s="3199"/>
      <c r="I277" s="3199"/>
      <c r="J277" s="3544" t="s">
        <v>4086</v>
      </c>
      <c r="K277" s="3544" t="s">
        <v>4084</v>
      </c>
      <c r="M277" s="1236">
        <v>2</v>
      </c>
      <c r="N277" s="181" t="s">
        <v>1236</v>
      </c>
      <c r="O277" s="2235" t="s">
        <v>4556</v>
      </c>
      <c r="P277" s="1262"/>
      <c r="Q277" s="3540"/>
      <c r="R277" s="3540"/>
    </row>
    <row r="278" spans="1:21" ht="11.45" customHeight="1">
      <c r="B278" s="389"/>
      <c r="C278" s="3199"/>
      <c r="D278" s="3199"/>
      <c r="E278" s="3199"/>
      <c r="F278" s="3199"/>
      <c r="G278" s="3199"/>
      <c r="H278" s="3199"/>
      <c r="I278" s="3199"/>
      <c r="J278" s="3545"/>
      <c r="K278" s="3545"/>
      <c r="L278" s="3547" t="s">
        <v>4149</v>
      </c>
      <c r="M278" s="3548"/>
      <c r="N278" s="120"/>
    </row>
    <row r="279" spans="1:21" ht="11.45" customHeight="1">
      <c r="B279" s="389"/>
      <c r="C279" s="3199"/>
      <c r="D279" s="3199"/>
      <c r="E279" s="3199"/>
      <c r="F279" s="3199"/>
      <c r="G279" s="3199"/>
      <c r="H279" s="3199"/>
      <c r="I279" s="3199"/>
      <c r="J279" s="2240"/>
      <c r="K279" s="2241"/>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3630</v>
      </c>
      <c r="C281" s="1290"/>
      <c r="D281" s="1290"/>
      <c r="E281" s="1290"/>
      <c r="F281" s="1290"/>
      <c r="G281" s="1290"/>
      <c r="H281" s="1288"/>
      <c r="I281" s="1288"/>
      <c r="O281" s="2242" t="s">
        <v>4561</v>
      </c>
      <c r="P281" s="1289" t="s">
        <v>203</v>
      </c>
    </row>
    <row r="282" spans="1:21" ht="11.45" customHeight="1">
      <c r="A282" s="539" t="s">
        <v>2132</v>
      </c>
      <c r="B282" s="942" t="s">
        <v>3628</v>
      </c>
      <c r="C282" s="430"/>
      <c r="E282" s="120"/>
      <c r="G282" s="495" t="s">
        <v>3629</v>
      </c>
      <c r="H282" s="943">
        <f>'Part VI-Revenues &amp; Expenses'!$O$59</f>
        <v>17</v>
      </c>
      <c r="I282" s="1097" t="s">
        <v>3632</v>
      </c>
      <c r="J282" s="943">
        <f>'Part VI-Revenues &amp; Expenses'!$O$62</f>
        <v>84</v>
      </c>
      <c r="K282" s="1097" t="s">
        <v>3633</v>
      </c>
      <c r="L282" s="945">
        <f>IF(J282=0,0,H282/J282)</f>
        <v>0.20238095238095238</v>
      </c>
      <c r="M282" s="1235">
        <v>2</v>
      </c>
      <c r="N282" s="1227" t="s">
        <v>2132</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1881</v>
      </c>
      <c r="C283" s="43"/>
      <c r="D283" s="88"/>
      <c r="E283" s="1588"/>
      <c r="F283" s="1588"/>
      <c r="G283" s="1588"/>
      <c r="H283" s="1588"/>
      <c r="I283" s="1588"/>
      <c r="J283" s="1588"/>
      <c r="K283" s="1588"/>
      <c r="L283" s="1588"/>
      <c r="M283" s="1588"/>
      <c r="N283" s="77"/>
      <c r="O283" s="73"/>
      <c r="P283" s="1585"/>
      <c r="Q283" s="441"/>
    </row>
    <row r="284" spans="1:21" s="44" customFormat="1" ht="11.25" customHeight="1">
      <c r="A284" s="3419"/>
      <c r="B284" s="3420"/>
      <c r="C284" s="3420"/>
      <c r="D284" s="3420"/>
      <c r="E284" s="3420"/>
      <c r="F284" s="3420"/>
      <c r="G284" s="3420"/>
      <c r="H284" s="3420"/>
      <c r="I284" s="3420"/>
      <c r="J284" s="3420"/>
      <c r="K284" s="3420"/>
      <c r="L284" s="3420"/>
      <c r="M284" s="3420"/>
      <c r="N284" s="3420"/>
      <c r="O284" s="3420"/>
      <c r="P284" s="3421"/>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4088</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2000</v>
      </c>
      <c r="B287" s="1238" t="s">
        <v>3820</v>
      </c>
      <c r="D287" s="655"/>
      <c r="E287" s="655"/>
      <c r="F287" s="655"/>
      <c r="G287" s="655"/>
      <c r="H287" s="655"/>
      <c r="I287" s="655"/>
      <c r="J287" s="655"/>
      <c r="K287" s="655"/>
      <c r="L287" s="1105"/>
      <c r="M287" s="3414" t="str">
        <f>IF(OR(SUM(T287:T288)&gt;1,SUM(U287:U288)&gt;1),"Only one category can be met by other means!","")</f>
        <v/>
      </c>
      <c r="N287" s="484" t="s">
        <v>2000</v>
      </c>
      <c r="O287" s="2193" t="s">
        <v>4556</v>
      </c>
      <c r="P287" s="561"/>
      <c r="U287" s="1355">
        <f>IF(L287="Yes",1,0)</f>
        <v>0</v>
      </c>
    </row>
    <row r="288" spans="1:21" ht="11.25" customHeight="1">
      <c r="A288" s="1586" t="s">
        <v>2002</v>
      </c>
      <c r="B288" s="1238" t="s">
        <v>3821</v>
      </c>
      <c r="D288" s="655"/>
      <c r="L288" s="1105"/>
      <c r="M288" s="3414"/>
      <c r="N288" s="484" t="s">
        <v>2002</v>
      </c>
      <c r="O288" s="2192" t="s">
        <v>4556</v>
      </c>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7"/>
    </row>
    <row r="290" spans="1:27" s="44" customFormat="1" ht="21.75" customHeight="1" thickTop="1" thickBot="1">
      <c r="A290" s="3380" t="s">
        <v>4559</v>
      </c>
      <c r="B290" s="3381"/>
      <c r="C290" s="3381"/>
      <c r="D290" s="3381"/>
      <c r="E290" s="3381"/>
      <c r="F290" s="3381"/>
      <c r="G290" s="3381"/>
      <c r="H290" s="3381"/>
      <c r="I290" s="3381"/>
      <c r="J290" s="3381"/>
      <c r="K290" s="3381"/>
      <c r="L290" s="3381"/>
      <c r="M290" s="3381"/>
      <c r="N290" s="3381"/>
      <c r="O290" s="3381"/>
      <c r="P290" s="3382"/>
      <c r="Q290" s="1174" t="s">
        <v>1266</v>
      </c>
    </row>
    <row r="291" spans="1:27" s="44" customFormat="1" ht="10.5" customHeight="1" thickTop="1">
      <c r="A291" s="43"/>
      <c r="B291" s="88" t="s">
        <v>1881</v>
      </c>
      <c r="C291" s="43"/>
      <c r="D291" s="88"/>
      <c r="E291" s="1588"/>
      <c r="F291" s="1588"/>
      <c r="G291" s="1588"/>
      <c r="H291" s="1588"/>
      <c r="I291" s="1588"/>
      <c r="J291" s="1588"/>
      <c r="K291" s="1588"/>
      <c r="L291" s="1588"/>
      <c r="M291" s="1588"/>
      <c r="N291" s="77"/>
      <c r="O291" s="73"/>
      <c r="P291" s="1585"/>
      <c r="Q291" s="441"/>
    </row>
    <row r="292" spans="1:27" s="44" customFormat="1" ht="11.25" customHeight="1">
      <c r="A292" s="3419"/>
      <c r="B292" s="3420"/>
      <c r="C292" s="3420"/>
      <c r="D292" s="3420"/>
      <c r="E292" s="3420"/>
      <c r="F292" s="3420"/>
      <c r="G292" s="3420"/>
      <c r="H292" s="3420"/>
      <c r="I292" s="3420"/>
      <c r="J292" s="3420"/>
      <c r="K292" s="3420"/>
      <c r="L292" s="3420"/>
      <c r="M292" s="3420"/>
      <c r="N292" s="3420"/>
      <c r="O292" s="3420"/>
      <c r="P292" s="3421"/>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3414</v>
      </c>
      <c r="J294" s="89" t="s">
        <v>2814</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2000</v>
      </c>
      <c r="B295" s="184" t="s">
        <v>4089</v>
      </c>
      <c r="D295" s="34"/>
      <c r="E295" s="34"/>
      <c r="F295" s="34"/>
      <c r="H295" s="89" t="s">
        <v>3710</v>
      </c>
      <c r="I295" s="446"/>
      <c r="J295" s="3349" t="str">
        <f>'Part I-Project Information'!$O$34</f>
        <v>No</v>
      </c>
      <c r="K295" s="3349"/>
      <c r="L295" s="995">
        <f>'Part I-Project Information'!$O$35</f>
        <v>0</v>
      </c>
      <c r="M295" s="75">
        <v>3</v>
      </c>
      <c r="N295" s="484" t="s">
        <v>2000</v>
      </c>
      <c r="O295" s="2201"/>
      <c r="P295" s="912"/>
      <c r="Q295" s="1090" t="str">
        <f>IF(OR($O295=$M295,$O295=0,$O295=""),"","*CHECK!*")</f>
        <v/>
      </c>
      <c r="R295" s="1192" t="s">
        <v>2726</v>
      </c>
    </row>
    <row r="296" spans="1:27" s="103" customFormat="1" ht="21.75" customHeight="1">
      <c r="B296" s="621" t="s">
        <v>2003</v>
      </c>
      <c r="C296" s="3364" t="s">
        <v>4246</v>
      </c>
      <c r="D296" s="3364"/>
      <c r="E296" s="3364"/>
      <c r="F296" s="3364"/>
      <c r="G296" s="3364"/>
      <c r="H296" s="3364"/>
      <c r="I296" s="3364"/>
      <c r="J296" s="3364"/>
      <c r="K296" s="3364"/>
      <c r="L296" s="3364"/>
      <c r="M296" s="3364"/>
      <c r="N296" s="404" t="s">
        <v>2003</v>
      </c>
      <c r="O296" s="2243" t="s">
        <v>4556</v>
      </c>
      <c r="P296" s="1241"/>
      <c r="Q296" s="3415" t="s">
        <v>4247</v>
      </c>
      <c r="R296" s="3364"/>
      <c r="S296" s="3364"/>
      <c r="T296" s="3364"/>
      <c r="U296" s="3364"/>
      <c r="V296" s="3364"/>
      <c r="W296" s="3364"/>
      <c r="X296" s="3364"/>
      <c r="Y296" s="3364"/>
      <c r="Z296" s="3364"/>
      <c r="AA296" s="1098"/>
    </row>
    <row r="297" spans="1:27" s="121" customFormat="1" ht="10.5" customHeight="1">
      <c r="B297" s="942"/>
      <c r="C297" s="139" t="s">
        <v>3835</v>
      </c>
      <c r="H297" s="448" t="s">
        <v>2601</v>
      </c>
      <c r="I297" s="2244"/>
      <c r="J297" s="448" t="s">
        <v>2318</v>
      </c>
      <c r="K297" s="3434"/>
      <c r="L297" s="3435"/>
      <c r="M297" s="3435"/>
      <c r="N297" s="3435"/>
      <c r="O297" s="3435"/>
      <c r="P297" s="3436"/>
    </row>
    <row r="298" spans="1:27" s="121" customFormat="1" ht="10.5" customHeight="1">
      <c r="B298" s="942"/>
      <c r="C298" s="139" t="s">
        <v>3891</v>
      </c>
      <c r="H298" s="448" t="s">
        <v>2601</v>
      </c>
      <c r="I298" s="2245"/>
      <c r="J298" s="448" t="s">
        <v>2318</v>
      </c>
      <c r="K298" s="3431"/>
      <c r="L298" s="3432"/>
      <c r="M298" s="3432"/>
      <c r="N298" s="3432"/>
      <c r="O298" s="3432"/>
      <c r="P298" s="3433"/>
    </row>
    <row r="299" spans="1:27" s="121" customFormat="1" ht="10.5" customHeight="1">
      <c r="B299" s="942" t="s">
        <v>2005</v>
      </c>
      <c r="C299" s="121" t="s">
        <v>972</v>
      </c>
      <c r="M299" s="7"/>
      <c r="N299" s="181" t="s">
        <v>2005</v>
      </c>
      <c r="O299" s="2208" t="s">
        <v>4556</v>
      </c>
      <c r="P299" s="1005"/>
    </row>
    <row r="300" spans="1:27" s="121" customFormat="1" ht="10.5" customHeight="1">
      <c r="B300" s="942" t="s">
        <v>2552</v>
      </c>
      <c r="C300" s="121" t="s">
        <v>973</v>
      </c>
      <c r="M300" s="7"/>
      <c r="N300" s="181" t="s">
        <v>2552</v>
      </c>
      <c r="O300" s="2196" t="s">
        <v>4556</v>
      </c>
      <c r="P300" s="562"/>
    </row>
    <row r="301" spans="1:27" s="121" customFormat="1" ht="10.5" customHeight="1">
      <c r="A301" s="532"/>
      <c r="B301" s="942" t="s">
        <v>1236</v>
      </c>
      <c r="C301" s="121" t="s">
        <v>974</v>
      </c>
      <c r="M301" s="7"/>
      <c r="N301" s="181" t="s">
        <v>1236</v>
      </c>
      <c r="O301" s="2192" t="s">
        <v>4556</v>
      </c>
      <c r="P301" s="563"/>
    </row>
    <row r="302" spans="1:27" s="34" customFormat="1" ht="10.5" customHeight="1">
      <c r="A302" s="1586" t="s">
        <v>2002</v>
      </c>
      <c r="B302" s="184" t="s">
        <v>4090</v>
      </c>
      <c r="D302" s="620"/>
      <c r="H302" s="62" t="s">
        <v>3415</v>
      </c>
    </row>
    <row r="303" spans="1:27" s="34" customFormat="1" ht="10.5" customHeight="1">
      <c r="A303" s="1586"/>
      <c r="B303" s="947" t="s">
        <v>3634</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4092</v>
      </c>
      <c r="L304" s="391" t="str">
        <f>IF(OR($O304=$M304,$O304=0,$O304=""),"","* * Check Score! * *")</f>
        <v/>
      </c>
      <c r="M304" s="75">
        <v>3</v>
      </c>
      <c r="N304" s="450" t="s">
        <v>2003</v>
      </c>
      <c r="O304" s="2202">
        <v>3</v>
      </c>
      <c r="P304" s="555"/>
      <c r="Q304" s="1090" t="str">
        <f>IF(OR($O304=$M304,$O304=0,$O304=""),"","*CHECK!*")</f>
        <v/>
      </c>
      <c r="R304" s="1192" t="s">
        <v>2726</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203"/>
      <c r="P305" s="557"/>
      <c r="Q305" s="1090" t="str">
        <f>IF(OR($O305=$M305,$O305=0,$O305=""),"","*CHECK!*")</f>
        <v/>
      </c>
      <c r="R305" s="1192" t="s">
        <v>2726</v>
      </c>
    </row>
    <row r="306" spans="1:21" s="34" customFormat="1" ht="10.5" customHeight="1">
      <c r="A306" s="1586" t="s">
        <v>757</v>
      </c>
      <c r="B306" s="184" t="s">
        <v>4091</v>
      </c>
      <c r="D306" s="620"/>
      <c r="H306" s="62" t="s">
        <v>4094</v>
      </c>
    </row>
    <row r="307" spans="1:21" s="34" customFormat="1" ht="10.5" customHeight="1">
      <c r="A307" s="1586"/>
      <c r="B307" s="947" t="s">
        <v>3637</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3636</v>
      </c>
      <c r="K308" s="3484" t="str">
        <f>IF(OR(AND(O308&gt;0,O310&gt;0), AND(O309&gt;0,O310&gt;0), AND(O308&gt;0,O309&gt;0)),"Choose option 1 or 2 or 3!!!","")</f>
        <v/>
      </c>
      <c r="L308" s="3484"/>
      <c r="M308" s="75">
        <v>4</v>
      </c>
      <c r="N308" s="450" t="s">
        <v>2003</v>
      </c>
      <c r="O308" s="2202"/>
      <c r="P308" s="555"/>
      <c r="Q308" s="1090" t="str">
        <f>IF(OR($O308=$M308,$O308=0,$O308=""),"","*CHECK!*")</f>
        <v/>
      </c>
      <c r="R308" s="1192" t="s">
        <v>2726</v>
      </c>
    </row>
    <row r="309" spans="1:21" ht="10.5" customHeight="1">
      <c r="A309" s="619" t="s">
        <v>1365</v>
      </c>
      <c r="B309" s="621" t="s">
        <v>2005</v>
      </c>
      <c r="C309" s="618" t="s">
        <v>4093</v>
      </c>
      <c r="D309" s="34"/>
      <c r="E309" s="34"/>
      <c r="F309" s="34"/>
      <c r="G309" s="41"/>
      <c r="H309" s="949"/>
      <c r="I309" s="41"/>
      <c r="K309" s="3484"/>
      <c r="L309" s="3484"/>
      <c r="M309" s="83">
        <v>3</v>
      </c>
      <c r="N309" s="948" t="s">
        <v>2005</v>
      </c>
      <c r="O309" s="2246"/>
      <c r="P309" s="556"/>
      <c r="Q309" s="1090" t="str">
        <f t="shared" ref="Q309:Q310" si="5">IF(OR($O309=$M309,$O309=0,$O309=""),"","*CHECK!*")</f>
        <v/>
      </c>
      <c r="R309" s="1192" t="s">
        <v>2726</v>
      </c>
    </row>
    <row r="310" spans="1:21" ht="10.5" customHeight="1">
      <c r="A310" s="619" t="s">
        <v>1365</v>
      </c>
      <c r="B310" s="621" t="s">
        <v>2552</v>
      </c>
      <c r="C310" s="455" t="s">
        <v>3638</v>
      </c>
      <c r="D310" s="34"/>
      <c r="E310" s="34"/>
      <c r="F310" s="34"/>
      <c r="G310" s="41"/>
      <c r="H310" s="62"/>
      <c r="I310" s="41"/>
      <c r="K310" s="3484"/>
      <c r="L310" s="3484"/>
      <c r="M310" s="83">
        <v>2</v>
      </c>
      <c r="N310" s="948" t="s">
        <v>2552</v>
      </c>
      <c r="O310" s="2203"/>
      <c r="P310" s="557"/>
      <c r="Q310" s="1090" t="str">
        <f t="shared" si="5"/>
        <v/>
      </c>
      <c r="R310" s="1192" t="s">
        <v>2726</v>
      </c>
    </row>
    <row r="311" spans="1:21" s="44" customFormat="1" ht="10.5" customHeight="1" thickBot="1">
      <c r="A311" s="43"/>
      <c r="B311" s="1332" t="s">
        <v>3782</v>
      </c>
      <c r="C311" s="43"/>
      <c r="D311" s="49"/>
      <c r="E311" s="49"/>
      <c r="F311" s="49"/>
      <c r="G311" s="49"/>
      <c r="H311" s="37"/>
      <c r="I311" s="37"/>
      <c r="J311" s="37"/>
      <c r="K311" s="37"/>
      <c r="M311" s="47"/>
      <c r="N311" s="63"/>
      <c r="O311" s="3"/>
      <c r="P311" s="1587"/>
    </row>
    <row r="312" spans="1:21" s="44" customFormat="1" ht="21.75" customHeight="1" thickTop="1" thickBot="1">
      <c r="A312" s="3380" t="s">
        <v>4558</v>
      </c>
      <c r="B312" s="3381"/>
      <c r="C312" s="3381"/>
      <c r="D312" s="3381"/>
      <c r="E312" s="3381"/>
      <c r="F312" s="3381"/>
      <c r="G312" s="3381"/>
      <c r="H312" s="3381"/>
      <c r="I312" s="3381"/>
      <c r="J312" s="3381"/>
      <c r="K312" s="3381"/>
      <c r="L312" s="3381"/>
      <c r="M312" s="3381"/>
      <c r="N312" s="3381"/>
      <c r="O312" s="3381"/>
      <c r="P312" s="3382"/>
      <c r="Q312" s="1174" t="s">
        <v>1266</v>
      </c>
    </row>
    <row r="313" spans="1:21" s="44" customFormat="1" ht="10.5" customHeight="1" thickTop="1">
      <c r="B313" s="88" t="s">
        <v>1881</v>
      </c>
      <c r="C313" s="101"/>
      <c r="D313" s="88"/>
      <c r="E313" s="102"/>
      <c r="F313" s="1588"/>
      <c r="G313" s="1588"/>
      <c r="H313" s="1588"/>
      <c r="I313" s="1588"/>
      <c r="J313" s="1588"/>
      <c r="K313" s="1588"/>
      <c r="L313" s="1588"/>
      <c r="M313" s="1588"/>
      <c r="N313" s="77"/>
      <c r="O313" s="73"/>
      <c r="P313" s="1585"/>
      <c r="Q313" s="441"/>
    </row>
    <row r="314" spans="1:21" s="44" customFormat="1" ht="11.25" customHeight="1">
      <c r="A314" s="3093"/>
      <c r="B314" s="3094"/>
      <c r="C314" s="3094"/>
      <c r="D314" s="3094"/>
      <c r="E314" s="3094"/>
      <c r="F314" s="3094"/>
      <c r="G314" s="3094"/>
      <c r="H314" s="3094"/>
      <c r="I314" s="3094"/>
      <c r="J314" s="3094"/>
      <c r="K314" s="3094"/>
      <c r="L314" s="3094"/>
      <c r="M314" s="3094"/>
      <c r="N314" s="3094"/>
      <c r="O314" s="3094"/>
      <c r="P314" s="3095"/>
      <c r="Q314" s="461"/>
    </row>
    <row r="315" spans="1:21" ht="1.5" customHeight="1" thickBot="1">
      <c r="B315" s="120"/>
      <c r="C315" s="120"/>
      <c r="D315" s="120"/>
      <c r="E315" s="120"/>
      <c r="T315" s="1169"/>
      <c r="U315" s="1169"/>
    </row>
    <row r="316" spans="1:21" s="44" customFormat="1" ht="12" customHeight="1" thickBot="1">
      <c r="A316" s="159" t="s">
        <v>1739</v>
      </c>
      <c r="B316" s="109" t="s">
        <v>2847</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2247">
        <v>1</v>
      </c>
      <c r="P317" s="1251"/>
      <c r="Q317" s="1090" t="str">
        <f>IF(OR($O317=$M317,$O317=0,$O317=""),"","*CHECK!*")</f>
        <v/>
      </c>
      <c r="R317" s="1192" t="s">
        <v>2726</v>
      </c>
      <c r="T317" s="1169"/>
      <c r="U317" s="1169"/>
    </row>
    <row r="318" spans="1:21" s="105" customFormat="1" ht="10.5" customHeight="1">
      <c r="A318" s="143"/>
      <c r="B318" s="41" t="s">
        <v>2709</v>
      </c>
      <c r="D318" s="62"/>
      <c r="E318" s="62"/>
      <c r="F318" s="45"/>
      <c r="G318" s="28"/>
      <c r="K318" s="484"/>
      <c r="M318" s="7"/>
      <c r="N318" s="484"/>
      <c r="O318" s="2192" t="s">
        <v>3012</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202"/>
      <c r="P319" s="555"/>
      <c r="Q319" s="1090" t="str">
        <f>IF(OR($O319=$M319,$O319=0,$O319=""),"","*CHECK!*")</f>
        <v/>
      </c>
      <c r="R319" s="1192" t="s">
        <v>2726</v>
      </c>
      <c r="T319" s="1169"/>
      <c r="U319" s="1169"/>
    </row>
    <row r="320" spans="1:21" s="44" customFormat="1" ht="10.5" customHeight="1">
      <c r="A320" s="143"/>
      <c r="B320" s="956" t="s">
        <v>4095</v>
      </c>
      <c r="D320" s="58"/>
      <c r="H320" s="1593"/>
      <c r="K320" s="53"/>
      <c r="L320" s="105"/>
      <c r="M320" s="7"/>
      <c r="N320" s="484"/>
      <c r="O320" s="2192" t="s">
        <v>3015</v>
      </c>
      <c r="P320" s="563"/>
      <c r="Q320" s="403"/>
      <c r="R320" s="391"/>
      <c r="T320" s="1169"/>
      <c r="U320" s="1169"/>
    </row>
    <row r="321" spans="1:18" s="44" customFormat="1" ht="10.5" customHeight="1">
      <c r="A321" s="43"/>
      <c r="B321" s="88" t="s">
        <v>1881</v>
      </c>
      <c r="C321" s="101"/>
      <c r="D321" s="88"/>
      <c r="E321" s="102"/>
      <c r="F321" s="1588"/>
      <c r="G321" s="1588"/>
      <c r="H321" s="1588"/>
      <c r="I321" s="1588"/>
      <c r="J321" s="1588"/>
      <c r="K321" s="1588"/>
      <c r="L321" s="1588"/>
      <c r="M321" s="1588"/>
      <c r="N321" s="77"/>
      <c r="O321" s="73"/>
      <c r="P321" s="1585"/>
      <c r="Q321" s="441"/>
    </row>
    <row r="322" spans="1:18" s="44" customFormat="1" ht="11.25" customHeight="1">
      <c r="A322" s="3093"/>
      <c r="B322" s="3094"/>
      <c r="C322" s="3094"/>
      <c r="D322" s="3094"/>
      <c r="E322" s="3094"/>
      <c r="F322" s="3094"/>
      <c r="G322" s="3094"/>
      <c r="H322" s="3094"/>
      <c r="I322" s="3094"/>
      <c r="J322" s="3094"/>
      <c r="K322" s="3094"/>
      <c r="L322" s="3094"/>
      <c r="M322" s="3094"/>
      <c r="N322" s="3094"/>
      <c r="O322" s="3094"/>
      <c r="P322" s="3095"/>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2802</v>
      </c>
      <c r="B324" s="109" t="s">
        <v>4096</v>
      </c>
      <c r="C324" s="90"/>
      <c r="D324" s="59"/>
      <c r="E324" s="53"/>
      <c r="G324" s="56"/>
      <c r="M324" s="1585">
        <v>2</v>
      </c>
      <c r="N324" s="6"/>
      <c r="O324" s="6"/>
      <c r="P324" s="1247">
        <f>P325+P330</f>
        <v>0</v>
      </c>
      <c r="Q324" s="112" t="s">
        <v>443</v>
      </c>
    </row>
    <row r="325" spans="1:18" s="44" customFormat="1" ht="12" customHeight="1">
      <c r="A325" s="143" t="s">
        <v>2002</v>
      </c>
      <c r="B325" s="172" t="s">
        <v>4097</v>
      </c>
      <c r="C325" s="90"/>
      <c r="D325" s="59"/>
      <c r="E325" s="53"/>
      <c r="G325" s="508">
        <f>'Part VIII-Threshold Criteria'!I357</f>
        <v>0</v>
      </c>
      <c r="J325" s="41" t="s">
        <v>2704</v>
      </c>
      <c r="L325" s="37"/>
      <c r="O325" s="483" t="str">
        <f>'Part I-Project Information'!$H$96</f>
        <v>No</v>
      </c>
      <c r="P325" s="558"/>
      <c r="Q325" s="112"/>
    </row>
    <row r="326" spans="1:18" s="105" customFormat="1" ht="10.5" customHeight="1">
      <c r="A326" s="143"/>
      <c r="B326" s="389" t="s">
        <v>2003</v>
      </c>
      <c r="C326" s="37" t="s">
        <v>3484</v>
      </c>
      <c r="D326" s="34"/>
      <c r="N326" s="450" t="s">
        <v>2003</v>
      </c>
      <c r="O326" s="2193" t="s">
        <v>3015</v>
      </c>
      <c r="P326" s="561"/>
      <c r="R326" s="391"/>
    </row>
    <row r="327" spans="1:18" s="105" customFormat="1" ht="10.5" customHeight="1">
      <c r="A327" s="143"/>
      <c r="B327" s="389" t="s">
        <v>2005</v>
      </c>
      <c r="C327" s="37" t="s">
        <v>4116</v>
      </c>
      <c r="D327" s="34"/>
      <c r="N327" s="948" t="s">
        <v>2005</v>
      </c>
      <c r="O327" s="2196" t="s">
        <v>4556</v>
      </c>
      <c r="P327" s="562"/>
      <c r="R327" s="391"/>
    </row>
    <row r="328" spans="1:18" s="105" customFormat="1" ht="10.5" customHeight="1">
      <c r="A328" s="143"/>
      <c r="B328" s="389" t="s">
        <v>2552</v>
      </c>
      <c r="C328" s="37" t="s">
        <v>4115</v>
      </c>
      <c r="D328" s="34"/>
      <c r="N328" s="948" t="s">
        <v>2552</v>
      </c>
      <c r="O328" s="2196" t="s">
        <v>4556</v>
      </c>
      <c r="P328" s="562"/>
      <c r="R328" s="391"/>
    </row>
    <row r="329" spans="1:18" s="105" customFormat="1" ht="10.5" customHeight="1">
      <c r="A329" s="143"/>
      <c r="B329" s="389" t="s">
        <v>1236</v>
      </c>
      <c r="C329" s="37" t="s">
        <v>4117</v>
      </c>
      <c r="D329" s="34"/>
      <c r="N329" s="948" t="s">
        <v>1236</v>
      </c>
      <c r="O329" s="2196" t="s">
        <v>4556</v>
      </c>
      <c r="P329" s="563"/>
      <c r="R329" s="391"/>
    </row>
    <row r="330" spans="1:18" s="44" customFormat="1" ht="12" customHeight="1">
      <c r="A330" s="143" t="s">
        <v>2000</v>
      </c>
      <c r="B330" s="172" t="s">
        <v>4098</v>
      </c>
      <c r="C330" s="90"/>
      <c r="D330" s="59"/>
      <c r="E330" s="53"/>
      <c r="G330" s="508" t="str">
        <f>'Part I-Project Information'!E158</f>
        <v>The Housing Authority of the City of Columbus</v>
      </c>
      <c r="I330" s="508"/>
      <c r="L330" s="1297"/>
      <c r="M330" s="1297"/>
      <c r="N330" s="6"/>
      <c r="P330" s="558"/>
      <c r="Q330" s="112"/>
    </row>
    <row r="331" spans="1:18" s="105" customFormat="1" ht="10.5" customHeight="1">
      <c r="A331" s="159"/>
      <c r="B331" s="389" t="s">
        <v>2003</v>
      </c>
      <c r="C331" s="37" t="s">
        <v>3484</v>
      </c>
      <c r="D331" s="53"/>
      <c r="E331" s="53"/>
      <c r="M331" s="1585"/>
      <c r="N331" s="450" t="s">
        <v>2003</v>
      </c>
      <c r="O331" s="2193" t="s">
        <v>4556</v>
      </c>
      <c r="P331" s="561"/>
      <c r="Q331" s="112"/>
    </row>
    <row r="332" spans="1:18" s="105" customFormat="1" ht="10.5" customHeight="1">
      <c r="A332" s="143"/>
      <c r="B332" s="389" t="s">
        <v>2005</v>
      </c>
      <c r="C332" s="37" t="s">
        <v>4129</v>
      </c>
      <c r="D332" s="34"/>
      <c r="N332" s="948" t="s">
        <v>2005</v>
      </c>
      <c r="O332" s="2196" t="s">
        <v>4556</v>
      </c>
      <c r="P332" s="562"/>
      <c r="R332" s="391"/>
    </row>
    <row r="333" spans="1:18" s="105" customFormat="1" ht="10.5" customHeight="1">
      <c r="A333" s="143"/>
      <c r="B333" s="389" t="s">
        <v>2552</v>
      </c>
      <c r="C333" s="37" t="s">
        <v>4117</v>
      </c>
      <c r="D333" s="34"/>
      <c r="N333" s="948" t="s">
        <v>2552</v>
      </c>
      <c r="O333" s="2192" t="s">
        <v>4556</v>
      </c>
      <c r="P333" s="563"/>
      <c r="R333" s="391"/>
    </row>
    <row r="334" spans="1:18" s="44" customFormat="1" ht="10.5" customHeight="1">
      <c r="B334" s="88" t="s">
        <v>1881</v>
      </c>
      <c r="C334" s="101"/>
      <c r="D334" s="88"/>
      <c r="E334" s="102"/>
      <c r="F334" s="1588"/>
      <c r="G334" s="1588"/>
      <c r="H334" s="1588"/>
      <c r="I334" s="1588"/>
      <c r="J334" s="1588"/>
      <c r="K334" s="1588"/>
      <c r="L334" s="1588"/>
      <c r="M334" s="1588"/>
      <c r="N334" s="77"/>
      <c r="O334" s="73"/>
      <c r="P334" s="1585"/>
      <c r="Q334" s="441"/>
    </row>
    <row r="335" spans="1:18" s="44" customFormat="1" ht="11.25" customHeight="1">
      <c r="A335" s="3093"/>
      <c r="B335" s="3094"/>
      <c r="C335" s="3094"/>
      <c r="D335" s="3094"/>
      <c r="E335" s="3094"/>
      <c r="F335" s="3094"/>
      <c r="G335" s="3094"/>
      <c r="H335" s="3094"/>
      <c r="I335" s="3094"/>
      <c r="J335" s="3094"/>
      <c r="K335" s="3094"/>
      <c r="L335" s="3094"/>
      <c r="M335" s="3094"/>
      <c r="N335" s="3094"/>
      <c r="O335" s="3094"/>
      <c r="P335" s="3095"/>
      <c r="Q335" s="461"/>
    </row>
    <row r="336" spans="1:18" ht="2.25" customHeight="1" thickBot="1"/>
    <row r="337" spans="1:18" s="64" customFormat="1" ht="12.6" customHeight="1" thickBot="1">
      <c r="A337" s="158" t="s">
        <v>2268</v>
      </c>
      <c r="B337" s="108" t="s">
        <v>4099</v>
      </c>
      <c r="H337" s="37" t="s">
        <v>3602</v>
      </c>
      <c r="I337" s="1599" t="str">
        <f>'Part I-Project Information'!$H$100</f>
        <v>Flexible</v>
      </c>
      <c r="J337" s="1609"/>
      <c r="L337" s="391" t="str">
        <f>IF(OR($O337=$M337,$O337=0,$O337=""),"","* * Check Score! * *")</f>
        <v/>
      </c>
      <c r="M337" s="1585">
        <v>1</v>
      </c>
      <c r="N337" s="410"/>
      <c r="O337" s="2248">
        <v>1</v>
      </c>
      <c r="P337" s="1250"/>
      <c r="Q337" s="112" t="s">
        <v>443</v>
      </c>
      <c r="R337" s="1192" t="s">
        <v>2726</v>
      </c>
    </row>
    <row r="338" spans="1:18" s="64" customFormat="1" ht="12" customHeight="1">
      <c r="A338" s="3091" t="s">
        <v>4197</v>
      </c>
      <c r="B338" s="3091"/>
      <c r="C338" s="3091"/>
      <c r="D338" s="3091"/>
      <c r="E338" s="3091"/>
      <c r="F338" s="3091"/>
      <c r="G338" s="3091"/>
      <c r="H338" s="3091"/>
      <c r="I338" s="3348" t="s">
        <v>4198</v>
      </c>
      <c r="J338" s="3348"/>
      <c r="K338" s="3348"/>
      <c r="L338" s="3348"/>
      <c r="M338" s="3348"/>
      <c r="N338" s="3348"/>
      <c r="O338" s="3348"/>
      <c r="P338" s="3348"/>
      <c r="R338" s="391"/>
    </row>
    <row r="339" spans="1:18" s="64" customFormat="1" ht="12" customHeight="1">
      <c r="A339" s="3091"/>
      <c r="B339" s="3091"/>
      <c r="C339" s="3091"/>
      <c r="D339" s="3091"/>
      <c r="E339" s="3091"/>
      <c r="F339" s="3091"/>
      <c r="G339" s="3091"/>
      <c r="H339" s="3091"/>
      <c r="I339" s="3437">
        <v>1</v>
      </c>
      <c r="J339" s="3437"/>
      <c r="K339" s="3437"/>
      <c r="L339" s="3437">
        <v>3</v>
      </c>
      <c r="M339" s="3437"/>
      <c r="N339" s="3437"/>
      <c r="O339" s="3437"/>
      <c r="P339" s="3437"/>
      <c r="R339" s="391"/>
    </row>
    <row r="340" spans="1:18" s="64" customFormat="1" ht="12" customHeight="1">
      <c r="A340" s="3091"/>
      <c r="B340" s="3091"/>
      <c r="C340" s="3091"/>
      <c r="D340" s="3091"/>
      <c r="E340" s="3091"/>
      <c r="F340" s="3091"/>
      <c r="G340" s="3091"/>
      <c r="H340" s="3091"/>
      <c r="I340" s="3438">
        <v>2</v>
      </c>
      <c r="J340" s="3438"/>
      <c r="K340" s="3438"/>
      <c r="L340" s="3438">
        <v>4</v>
      </c>
      <c r="M340" s="3438"/>
      <c r="N340" s="3438"/>
      <c r="O340" s="3438"/>
      <c r="P340" s="3438"/>
      <c r="R340" s="391"/>
    </row>
    <row r="341" spans="1:18" s="105" customFormat="1" ht="10.5" customHeight="1" thickBot="1">
      <c r="A341" s="43"/>
      <c r="B341" s="1332" t="s">
        <v>3782</v>
      </c>
      <c r="C341" s="43"/>
      <c r="D341" s="49"/>
      <c r="E341" s="49"/>
      <c r="F341" s="49"/>
      <c r="G341" s="49"/>
      <c r="H341" s="37"/>
      <c r="I341" s="37"/>
      <c r="J341" s="37"/>
      <c r="K341" s="37"/>
      <c r="M341" s="47"/>
      <c r="N341" s="6"/>
      <c r="O341" s="3"/>
      <c r="P341" s="1585"/>
    </row>
    <row r="342" spans="1:18" s="44" customFormat="1" ht="21.75" customHeight="1" thickTop="1" thickBot="1">
      <c r="A342" s="3380" t="s">
        <v>4557</v>
      </c>
      <c r="B342" s="3381"/>
      <c r="C342" s="3381"/>
      <c r="D342" s="3381"/>
      <c r="E342" s="3381"/>
      <c r="F342" s="3381"/>
      <c r="G342" s="3381"/>
      <c r="H342" s="3381"/>
      <c r="I342" s="3381"/>
      <c r="J342" s="3381"/>
      <c r="K342" s="3381"/>
      <c r="L342" s="3381"/>
      <c r="M342" s="3381"/>
      <c r="N342" s="3381"/>
      <c r="O342" s="3381"/>
      <c r="P342" s="3382"/>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5"/>
      <c r="Q343" s="441"/>
    </row>
    <row r="344" spans="1:18" s="44" customFormat="1" ht="11.25" customHeight="1">
      <c r="A344" s="3093"/>
      <c r="B344" s="3094"/>
      <c r="C344" s="3094"/>
      <c r="D344" s="3094"/>
      <c r="E344" s="3094"/>
      <c r="F344" s="3094"/>
      <c r="G344" s="3094"/>
      <c r="H344" s="3094"/>
      <c r="I344" s="3094"/>
      <c r="J344" s="3094"/>
      <c r="K344" s="3094"/>
      <c r="L344" s="3094"/>
      <c r="M344" s="3094"/>
      <c r="N344" s="3094"/>
      <c r="O344" s="3094"/>
      <c r="P344" s="3095"/>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4153</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3641</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2726</v>
      </c>
    </row>
    <row r="348" spans="1:18" s="44" customFormat="1" ht="11.25" customHeight="1">
      <c r="B348" s="41" t="s">
        <v>4103</v>
      </c>
      <c r="D348" s="105"/>
      <c r="E348" s="91"/>
      <c r="F348" s="53"/>
      <c r="G348" s="53"/>
      <c r="H348" s="3416" t="s">
        <v>2540</v>
      </c>
      <c r="I348" s="3417"/>
      <c r="J348" s="3417"/>
      <c r="K348" s="3418"/>
      <c r="N348" s="484" t="s">
        <v>2000</v>
      </c>
      <c r="O348" s="1297" t="s">
        <v>2528</v>
      </c>
      <c r="P348" s="1297" t="s">
        <v>2528</v>
      </c>
    </row>
    <row r="349" spans="1:18" s="121" customFormat="1" ht="10.5" customHeight="1">
      <c r="B349" s="450" t="s">
        <v>2003</v>
      </c>
      <c r="C349" s="448" t="s">
        <v>4100</v>
      </c>
      <c r="N349" s="450" t="s">
        <v>2003</v>
      </c>
      <c r="O349" s="2193" t="s">
        <v>4556</v>
      </c>
      <c r="P349" s="561"/>
    </row>
    <row r="350" spans="1:18" s="121" customFormat="1" ht="10.5" customHeight="1">
      <c r="B350" s="450" t="s">
        <v>2005</v>
      </c>
      <c r="C350" s="448" t="s">
        <v>4101</v>
      </c>
      <c r="N350" s="450" t="s">
        <v>2005</v>
      </c>
      <c r="O350" s="2196" t="s">
        <v>4556</v>
      </c>
      <c r="P350" s="562"/>
    </row>
    <row r="351" spans="1:18" s="121" customFormat="1" ht="10.5" customHeight="1">
      <c r="B351" s="450" t="s">
        <v>2552</v>
      </c>
      <c r="C351" s="448" t="s">
        <v>4102</v>
      </c>
      <c r="N351" s="450" t="s">
        <v>2552</v>
      </c>
      <c r="O351" s="2192" t="s">
        <v>4556</v>
      </c>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2817</v>
      </c>
      <c r="D354" s="34"/>
      <c r="H354" s="3412" t="s">
        <v>3510</v>
      </c>
      <c r="I354" s="3412"/>
      <c r="J354" s="3412"/>
      <c r="K354" s="3412"/>
      <c r="L354" s="3412"/>
      <c r="M354" s="1236">
        <v>1</v>
      </c>
      <c r="N354" s="67" t="s">
        <v>2002</v>
      </c>
      <c r="O354" s="2205"/>
      <c r="P354" s="1231"/>
      <c r="Q354" s="1090" t="str">
        <f>IF(OR($O354=$M354,$O354=0,$O354=""),"","*CHECK!*")</f>
        <v/>
      </c>
      <c r="R354" s="1192" t="s">
        <v>2726</v>
      </c>
    </row>
    <row r="355" spans="1:19" s="34" customFormat="1" ht="10.5" customHeight="1">
      <c r="B355" s="515" t="s">
        <v>2818</v>
      </c>
      <c r="E355" s="620"/>
      <c r="O355" s="2207" t="s">
        <v>4556</v>
      </c>
      <c r="P355" s="566"/>
      <c r="Q355" s="179"/>
    </row>
    <row r="356" spans="1:19" s="34" customFormat="1" ht="10.5" customHeight="1">
      <c r="A356" s="532"/>
      <c r="B356" s="139" t="s">
        <v>3644</v>
      </c>
      <c r="C356" s="953" t="str">
        <f>'Part I-Project Information'!$F$38</f>
        <v>Columbus</v>
      </c>
      <c r="E356" s="139" t="s">
        <v>3509</v>
      </c>
      <c r="F356" s="953" t="str">
        <f>'Part I-Project Information'!$J$39</f>
        <v>Muscogee</v>
      </c>
      <c r="H356" s="448" t="s">
        <v>455</v>
      </c>
      <c r="I356" s="910" t="str">
        <f>'Part I-Project Information'!$N$39</f>
        <v>No</v>
      </c>
      <c r="K356" s="448" t="s">
        <v>3643</v>
      </c>
      <c r="L356" s="3373" t="str">
        <f>'Part I-Project Information'!$O$38</f>
        <v>11.00</v>
      </c>
      <c r="M356" s="3373"/>
      <c r="N356" s="3373"/>
      <c r="O356" s="3373"/>
      <c r="P356" s="3373"/>
    </row>
    <row r="357" spans="1:19" s="105" customFormat="1" ht="10.5" customHeight="1" thickBot="1">
      <c r="A357" s="43"/>
      <c r="B357" s="1332" t="s">
        <v>3782</v>
      </c>
      <c r="C357" s="43"/>
      <c r="D357" s="49"/>
      <c r="E357" s="49"/>
      <c r="F357" s="49"/>
      <c r="G357" s="49"/>
      <c r="H357" s="37"/>
      <c r="I357" s="37"/>
      <c r="J357" s="37"/>
      <c r="K357" s="37"/>
      <c r="M357" s="47"/>
      <c r="N357" s="6"/>
      <c r="O357" s="3"/>
      <c r="P357" s="1585"/>
    </row>
    <row r="358" spans="1:19" s="44" customFormat="1" ht="21.75" customHeight="1" thickTop="1" thickBot="1">
      <c r="A358" s="3380" t="s">
        <v>4552</v>
      </c>
      <c r="B358" s="3381"/>
      <c r="C358" s="3381"/>
      <c r="D358" s="3381"/>
      <c r="E358" s="3381"/>
      <c r="F358" s="3381"/>
      <c r="G358" s="3381"/>
      <c r="H358" s="3381"/>
      <c r="I358" s="3381"/>
      <c r="J358" s="3381"/>
      <c r="K358" s="3381"/>
      <c r="L358" s="3381"/>
      <c r="M358" s="3381"/>
      <c r="N358" s="3381"/>
      <c r="O358" s="3381"/>
      <c r="P358" s="3382"/>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5"/>
      <c r="Q359" s="441"/>
    </row>
    <row r="360" spans="1:19" s="44" customFormat="1" ht="11.25" customHeight="1">
      <c r="A360" s="3093"/>
      <c r="B360" s="3094"/>
      <c r="C360" s="3094"/>
      <c r="D360" s="3094"/>
      <c r="E360" s="3094"/>
      <c r="F360" s="3094"/>
      <c r="G360" s="3094"/>
      <c r="H360" s="3094"/>
      <c r="I360" s="3094"/>
      <c r="J360" s="3094"/>
      <c r="K360" s="3094"/>
      <c r="L360" s="3094"/>
      <c r="M360" s="3094"/>
      <c r="N360" s="3094"/>
      <c r="O360" s="3094"/>
      <c r="P360" s="3095"/>
      <c r="Q360" s="461"/>
    </row>
    <row r="361" spans="1:19" ht="3" customHeight="1" thickBot="1"/>
    <row r="362" spans="1:19" s="44" customFormat="1" ht="12.75" customHeight="1" thickBot="1">
      <c r="A362" s="158" t="s">
        <v>4154</v>
      </c>
      <c r="B362" s="108" t="s">
        <v>4106</v>
      </c>
      <c r="D362" s="91"/>
      <c r="E362" s="91"/>
      <c r="F362" s="53"/>
      <c r="G362" s="53"/>
      <c r="H362" s="172" t="s">
        <v>2814</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2903</v>
      </c>
      <c r="E363" s="91"/>
      <c r="F363" s="53"/>
      <c r="G363" s="53"/>
      <c r="H363" s="53"/>
      <c r="I363" s="53"/>
      <c r="J363" s="55"/>
      <c r="K363" s="61"/>
      <c r="L363" s="57"/>
      <c r="O363" s="540" t="s">
        <v>2528</v>
      </c>
      <c r="P363" s="540" t="s">
        <v>2528</v>
      </c>
    </row>
    <row r="364" spans="1:19" s="103" customFormat="1" ht="10.5" customHeight="1">
      <c r="B364" s="390" t="s">
        <v>2452</v>
      </c>
      <c r="C364" s="446" t="s">
        <v>2848</v>
      </c>
      <c r="E364" s="91"/>
      <c r="F364" s="53"/>
      <c r="G364" s="53"/>
      <c r="H364" s="53"/>
      <c r="I364" s="53"/>
      <c r="J364" s="55"/>
      <c r="K364" s="61"/>
      <c r="L364" s="3413" t="str">
        <f>IF(OR(O364="No",O364="",O365="No",O365="",O366="No",O366="",O367="No",O367=""),"Unmet criterion results in no points!","")</f>
        <v/>
      </c>
      <c r="M364" s="3413"/>
      <c r="N364" s="390" t="s">
        <v>2452</v>
      </c>
      <c r="O364" s="2193" t="s">
        <v>4556</v>
      </c>
      <c r="P364" s="561"/>
      <c r="R364" s="3411" t="str">
        <f>IF(OR(P364="No",P364="",P365="No",P365="",P366="No",P366="",P367="No",P367=""),"Unmet criterion results in no points!","")</f>
        <v>Unmet criterion results in no points!</v>
      </c>
      <c r="S364" s="3411" t="e">
        <f>IF(OR(V364="No",V364="",V365="No",V365="",V366="No",V366="",V367="No",V367="",#REF!="No",#REF!="",#REF!="No",#REF!=""),"Unmet criterion results in no points!","")</f>
        <v>#REF!</v>
      </c>
    </row>
    <row r="365" spans="1:19" s="103" customFormat="1" ht="10.5" customHeight="1">
      <c r="B365" s="402" t="s">
        <v>2453</v>
      </c>
      <c r="C365" s="446" t="s">
        <v>3838</v>
      </c>
      <c r="L365" s="3413"/>
      <c r="M365" s="3413"/>
      <c r="N365" s="402" t="s">
        <v>2453</v>
      </c>
      <c r="O365" s="2196" t="s">
        <v>4556</v>
      </c>
      <c r="P365" s="562"/>
      <c r="R365" s="3411"/>
      <c r="S365" s="3411"/>
    </row>
    <row r="366" spans="1:19" s="103" customFormat="1" ht="10.5" customHeight="1">
      <c r="B366" s="390" t="s">
        <v>2454</v>
      </c>
      <c r="C366" s="446" t="s">
        <v>3837</v>
      </c>
      <c r="L366" s="3413"/>
      <c r="M366" s="3413"/>
      <c r="N366" s="390" t="s">
        <v>2454</v>
      </c>
      <c r="O366" s="2196" t="s">
        <v>4556</v>
      </c>
      <c r="P366" s="562"/>
      <c r="R366" s="3411"/>
      <c r="S366" s="3411"/>
    </row>
    <row r="367" spans="1:19" s="103" customFormat="1" ht="29.25" customHeight="1">
      <c r="B367" s="402" t="s">
        <v>2455</v>
      </c>
      <c r="C367" s="3303" t="s">
        <v>4107</v>
      </c>
      <c r="D367" s="3303"/>
      <c r="E367" s="3303"/>
      <c r="F367" s="3303"/>
      <c r="G367" s="3303"/>
      <c r="H367" s="3303"/>
      <c r="I367" s="3303"/>
      <c r="J367" s="3303"/>
      <c r="K367" s="3303"/>
      <c r="L367" s="3303"/>
      <c r="M367" s="3303"/>
      <c r="N367" s="402" t="s">
        <v>2455</v>
      </c>
      <c r="O367" s="2249" t="s">
        <v>4556</v>
      </c>
      <c r="P367" s="1282"/>
    </row>
    <row r="368" spans="1:19" ht="3" customHeight="1">
      <c r="C368" s="3303"/>
      <c r="D368" s="3303"/>
      <c r="E368" s="3303"/>
      <c r="F368" s="3303"/>
      <c r="G368" s="3303"/>
      <c r="H368" s="3303"/>
      <c r="I368" s="3303"/>
      <c r="J368" s="3303"/>
      <c r="K368" s="3303"/>
      <c r="L368" s="3303"/>
      <c r="M368" s="3303"/>
    </row>
    <row r="369" spans="1:18" ht="11.25" customHeight="1">
      <c r="A369" s="1124" t="s">
        <v>2000</v>
      </c>
      <c r="B369" s="184" t="s">
        <v>4108</v>
      </c>
      <c r="L369" s="391" t="str">
        <f>IF(OR($O369=$M369,$O369=0,$O369=""),"","* * Check Score! * *")</f>
        <v/>
      </c>
      <c r="M369" s="1236">
        <v>3</v>
      </c>
      <c r="N369" s="484" t="s">
        <v>2000</v>
      </c>
      <c r="O369" s="2201"/>
      <c r="P369" s="912"/>
      <c r="Q369" s="1090" t="str">
        <f>IF(OR($O369=$M369,$O369=0,$O369=""),"","*CHECK!*")</f>
        <v/>
      </c>
      <c r="R369" s="1192" t="s">
        <v>2726</v>
      </c>
    </row>
    <row r="370" spans="1:18" ht="22.5" customHeight="1">
      <c r="A370" s="1124"/>
      <c r="B370" s="456" t="s">
        <v>2003</v>
      </c>
      <c r="C370" s="3364" t="s">
        <v>4109</v>
      </c>
      <c r="D370" s="3364"/>
      <c r="E370" s="3364"/>
      <c r="F370" s="3364"/>
      <c r="G370" s="3364"/>
      <c r="H370" s="3364"/>
      <c r="I370" s="3364"/>
      <c r="J370" s="3317" t="s">
        <v>2007</v>
      </c>
      <c r="K370" s="3317"/>
      <c r="M370" s="3317" t="s">
        <v>2007</v>
      </c>
      <c r="N370" s="3317"/>
      <c r="O370" s="3317"/>
      <c r="P370" s="3317"/>
    </row>
    <row r="371" spans="1:18" s="44" customFormat="1" ht="10.5" customHeight="1">
      <c r="A371" s="182"/>
      <c r="B371" s="390" t="s">
        <v>2452</v>
      </c>
      <c r="C371" s="37" t="s">
        <v>1494</v>
      </c>
      <c r="I371" s="390" t="s">
        <v>2452</v>
      </c>
      <c r="J371" s="3301"/>
      <c r="K371" s="3302"/>
      <c r="L371" s="390" t="s">
        <v>2452</v>
      </c>
      <c r="M371" s="3428"/>
      <c r="N371" s="3429"/>
      <c r="O371" s="3429"/>
      <c r="P371" s="3430"/>
      <c r="R371" s="391"/>
    </row>
    <row r="372" spans="1:18" ht="10.5" customHeight="1">
      <c r="A372" s="183"/>
      <c r="B372" s="402" t="s">
        <v>2453</v>
      </c>
      <c r="C372" s="37" t="s">
        <v>3648</v>
      </c>
      <c r="I372" s="402" t="s">
        <v>2453</v>
      </c>
      <c r="J372" s="3343"/>
      <c r="K372" s="3344"/>
      <c r="L372" s="402" t="s">
        <v>2453</v>
      </c>
      <c r="M372" s="3345"/>
      <c r="N372" s="3346"/>
      <c r="O372" s="3346"/>
      <c r="P372" s="3347"/>
      <c r="R372" s="391"/>
    </row>
    <row r="373" spans="1:18" ht="10.5" customHeight="1">
      <c r="B373" s="390" t="s">
        <v>2454</v>
      </c>
      <c r="C373" s="37" t="s">
        <v>2644</v>
      </c>
      <c r="I373" s="390" t="s">
        <v>2454</v>
      </c>
      <c r="J373" s="3343"/>
      <c r="K373" s="3344"/>
      <c r="L373" s="390" t="s">
        <v>2454</v>
      </c>
      <c r="M373" s="3345"/>
      <c r="N373" s="3346"/>
      <c r="O373" s="3346"/>
      <c r="P373" s="3347"/>
      <c r="R373" s="391"/>
    </row>
    <row r="374" spans="1:18" ht="10.5" customHeight="1">
      <c r="A374" s="183"/>
      <c r="B374" s="390" t="s">
        <v>2455</v>
      </c>
      <c r="C374" s="37" t="s">
        <v>3485</v>
      </c>
      <c r="I374" s="390" t="s">
        <v>2455</v>
      </c>
      <c r="J374" s="3343"/>
      <c r="K374" s="3344"/>
      <c r="L374" s="390" t="s">
        <v>2455</v>
      </c>
      <c r="M374" s="3345"/>
      <c r="N374" s="3346"/>
      <c r="O374" s="3346"/>
      <c r="P374" s="3347"/>
      <c r="R374" s="391"/>
    </row>
    <row r="375" spans="1:18" s="44" customFormat="1" ht="10.5" customHeight="1">
      <c r="A375" s="182"/>
      <c r="B375" s="402" t="s">
        <v>2456</v>
      </c>
      <c r="C375" s="37" t="s">
        <v>2751</v>
      </c>
      <c r="I375" s="402" t="s">
        <v>2456</v>
      </c>
      <c r="J375" s="3343"/>
      <c r="K375" s="3344"/>
      <c r="L375" s="402" t="s">
        <v>2456</v>
      </c>
      <c r="M375" s="3345"/>
      <c r="N375" s="3346"/>
      <c r="O375" s="3346"/>
      <c r="P375" s="3347"/>
      <c r="R375" s="391"/>
    </row>
    <row r="376" spans="1:18" ht="10.5" customHeight="1">
      <c r="B376" s="390" t="s">
        <v>2472</v>
      </c>
      <c r="C376" s="37" t="s">
        <v>1493</v>
      </c>
      <c r="I376" s="390" t="s">
        <v>2472</v>
      </c>
      <c r="J376" s="3343"/>
      <c r="K376" s="3344"/>
      <c r="L376" s="390" t="s">
        <v>2472</v>
      </c>
      <c r="M376" s="3345"/>
      <c r="N376" s="3346"/>
      <c r="O376" s="3346"/>
      <c r="P376" s="3347"/>
      <c r="R376" s="391"/>
    </row>
    <row r="377" spans="1:18" ht="10.5" customHeight="1">
      <c r="A377" s="183"/>
      <c r="B377" s="390" t="s">
        <v>2473</v>
      </c>
      <c r="C377" s="37" t="s">
        <v>3646</v>
      </c>
      <c r="I377" s="390" t="s">
        <v>2473</v>
      </c>
      <c r="J377" s="3343"/>
      <c r="K377" s="3344"/>
      <c r="L377" s="390" t="s">
        <v>2473</v>
      </c>
      <c r="M377" s="3345"/>
      <c r="N377" s="3346"/>
      <c r="O377" s="3346"/>
      <c r="P377" s="3347"/>
      <c r="R377" s="391"/>
    </row>
    <row r="378" spans="1:18" ht="10.5" customHeight="1">
      <c r="A378" s="183"/>
      <c r="B378" s="401" t="s">
        <v>2474</v>
      </c>
      <c r="C378" s="37" t="s">
        <v>4112</v>
      </c>
      <c r="I378" s="401" t="s">
        <v>2474</v>
      </c>
      <c r="J378" s="3343"/>
      <c r="K378" s="3344"/>
      <c r="L378" s="401" t="s">
        <v>2474</v>
      </c>
      <c r="M378" s="3345"/>
      <c r="N378" s="3346"/>
      <c r="O378" s="3346"/>
      <c r="P378" s="3347"/>
      <c r="R378" s="391"/>
    </row>
    <row r="379" spans="1:18" ht="10.5" customHeight="1">
      <c r="B379" s="401" t="s">
        <v>2475</v>
      </c>
      <c r="C379" s="37" t="s">
        <v>3647</v>
      </c>
      <c r="I379" s="401" t="s">
        <v>2475</v>
      </c>
      <c r="J379" s="3343"/>
      <c r="K379" s="3344"/>
      <c r="L379" s="401" t="s">
        <v>2475</v>
      </c>
      <c r="M379" s="3345"/>
      <c r="N379" s="3346"/>
      <c r="O379" s="3346"/>
      <c r="P379" s="3347"/>
      <c r="R379" s="391"/>
    </row>
    <row r="380" spans="1:18" ht="10.5" customHeight="1" thickBot="1">
      <c r="B380" s="401" t="s">
        <v>3649</v>
      </c>
      <c r="C380" s="37" t="s">
        <v>4191</v>
      </c>
      <c r="I380" s="401" t="s">
        <v>3649</v>
      </c>
      <c r="J380" s="3343"/>
      <c r="K380" s="3344"/>
      <c r="L380" s="401" t="s">
        <v>3649</v>
      </c>
      <c r="M380" s="3322"/>
      <c r="N380" s="3323"/>
      <c r="O380" s="3323"/>
      <c r="P380" s="3324"/>
      <c r="R380" s="391"/>
    </row>
    <row r="381" spans="1:18" ht="10.5" customHeight="1" thickBot="1">
      <c r="A381" s="183"/>
      <c r="B381" s="1295" t="s">
        <v>4113</v>
      </c>
      <c r="H381" s="1331" t="s">
        <v>2646</v>
      </c>
      <c r="J381" s="3325">
        <f>SUM(J371:K380)</f>
        <v>0</v>
      </c>
      <c r="K381" s="3326"/>
      <c r="M381" s="3325">
        <f>SUM($M371:$M380)</f>
        <v>0</v>
      </c>
      <c r="N381" s="3327"/>
      <c r="O381" s="3327"/>
      <c r="P381" s="3326"/>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2250"/>
      <c r="I383" s="1230"/>
      <c r="J383" s="3390">
        <f>'Part IV-A-Uses of Funds'!$G$132</f>
        <v>16105048</v>
      </c>
      <c r="K383" s="3391"/>
      <c r="M383" s="526"/>
      <c r="N383" s="526"/>
      <c r="O383" s="164"/>
      <c r="P383" s="526"/>
    </row>
    <row r="384" spans="1:18" ht="10.5" customHeight="1">
      <c r="A384" s="3328" t="s">
        <v>4301</v>
      </c>
      <c r="B384" s="3328"/>
      <c r="C384" s="3328"/>
      <c r="D384" s="3328"/>
      <c r="E384" s="453" t="s">
        <v>2648</v>
      </c>
      <c r="H384" s="2251"/>
      <c r="I384" s="1230"/>
      <c r="J384" s="3392">
        <f>IF($J383=0,0,$J381/$J383)</f>
        <v>0</v>
      </c>
      <c r="K384" s="3393"/>
      <c r="M384" s="3394">
        <f>IF($J383=0,0,$M381/$J383)</f>
        <v>0</v>
      </c>
      <c r="N384" s="3395"/>
      <c r="O384" s="3395"/>
      <c r="P384" s="3396"/>
    </row>
    <row r="385" spans="1:23" s="44" customFormat="1" ht="10.5" customHeight="1">
      <c r="A385" s="3328"/>
      <c r="B385" s="3328"/>
      <c r="C385" s="3328"/>
      <c r="D385" s="3328"/>
      <c r="E385" s="1160" t="s">
        <v>4300</v>
      </c>
      <c r="H385" s="2252"/>
      <c r="I385" s="1230"/>
      <c r="J385" s="3341">
        <f>IF(L364="", IF($J384&gt;=0.1, 3,IF($J384&gt;=0.05, 2,IF($J384&gt;=0.02,1,0))),0)</f>
        <v>0</v>
      </c>
      <c r="K385" s="3342"/>
      <c r="L385" s="537"/>
      <c r="M385" s="3341">
        <f>IF(R364="", IF($M384&gt;=0.1, 3,IF($M384&gt;=0.05, 2,IF($M384&gt;=0.02,1,0))),0)</f>
        <v>0</v>
      </c>
      <c r="N385" s="3443"/>
      <c r="O385" s="3443"/>
      <c r="P385" s="3342"/>
    </row>
    <row r="386" spans="1:23" ht="3" customHeight="1" thickBot="1"/>
    <row r="387" spans="1:23" s="105" customFormat="1" ht="12.75" customHeight="1" thickBot="1">
      <c r="A387" s="143" t="s">
        <v>2002</v>
      </c>
      <c r="B387" s="186" t="s">
        <v>3650</v>
      </c>
      <c r="D387" s="40"/>
      <c r="E387" s="37"/>
      <c r="F387" s="941"/>
      <c r="H387" s="37"/>
      <c r="I387" s="941"/>
      <c r="J387" s="956"/>
      <c r="K387" s="956"/>
      <c r="L387" s="391" t="str">
        <f>IF(OR($O387=$M387,$O387=0,$O387=""),"","* * Check Score! * *")</f>
        <v/>
      </c>
      <c r="M387" s="627">
        <v>1</v>
      </c>
      <c r="N387" s="67" t="s">
        <v>2002</v>
      </c>
      <c r="O387" s="2205"/>
      <c r="P387" s="1231"/>
      <c r="Q387" s="112" t="s">
        <v>443</v>
      </c>
      <c r="R387" s="1192" t="s">
        <v>2726</v>
      </c>
      <c r="V387" s="1169"/>
      <c r="W387" s="1169"/>
    </row>
    <row r="388" spans="1:23" s="44" customFormat="1" ht="22.5" customHeight="1">
      <c r="A388" s="143"/>
      <c r="B388" s="1102" t="s">
        <v>2452</v>
      </c>
      <c r="C388" s="3091" t="s">
        <v>4110</v>
      </c>
      <c r="D388" s="3091"/>
      <c r="E388" s="3091"/>
      <c r="F388" s="3091"/>
      <c r="G388" s="3091"/>
      <c r="H388" s="3091"/>
      <c r="I388" s="3091"/>
      <c r="J388" s="3091"/>
      <c r="K388" s="3091"/>
      <c r="L388" s="3091"/>
      <c r="M388" s="3091"/>
      <c r="N388" s="402" t="s">
        <v>2452</v>
      </c>
      <c r="O388" s="2253" t="s">
        <v>4556</v>
      </c>
      <c r="P388" s="1248"/>
      <c r="V388" s="1169"/>
      <c r="W388" s="1169"/>
    </row>
    <row r="389" spans="1:23" s="44" customFormat="1" ht="10.5" customHeight="1">
      <c r="A389" s="143"/>
      <c r="B389" s="390" t="s">
        <v>2453</v>
      </c>
      <c r="C389" s="53" t="s">
        <v>3830</v>
      </c>
      <c r="D389" s="53"/>
      <c r="E389" s="53"/>
      <c r="F389" s="53"/>
      <c r="G389" s="53"/>
      <c r="H389" s="53"/>
      <c r="I389" s="53"/>
      <c r="J389" s="53"/>
      <c r="K389" s="53"/>
      <c r="M389" s="53"/>
      <c r="N389" s="402" t="s">
        <v>2453</v>
      </c>
      <c r="O389" s="2192" t="s">
        <v>4556</v>
      </c>
      <c r="P389" s="563"/>
      <c r="V389" s="1169"/>
      <c r="W389" s="1169"/>
    </row>
    <row r="390" spans="1:23" ht="10.5" customHeight="1">
      <c r="B390" s="390" t="s">
        <v>2454</v>
      </c>
      <c r="C390" s="446" t="s">
        <v>4111</v>
      </c>
      <c r="N390" s="390" t="s">
        <v>2454</v>
      </c>
      <c r="O390" s="2192" t="s">
        <v>4556</v>
      </c>
      <c r="P390" s="563"/>
    </row>
    <row r="391" spans="1:23" ht="12" customHeight="1" thickBot="1">
      <c r="B391" s="1332" t="s">
        <v>3782</v>
      </c>
    </row>
    <row r="392" spans="1:23" s="44" customFormat="1" ht="21.75" customHeight="1" thickTop="1" thickBot="1">
      <c r="A392" s="3380" t="s">
        <v>4552</v>
      </c>
      <c r="B392" s="3381"/>
      <c r="C392" s="3381"/>
      <c r="D392" s="3381"/>
      <c r="E392" s="3381"/>
      <c r="F392" s="3381"/>
      <c r="G392" s="3381"/>
      <c r="H392" s="3381"/>
      <c r="I392" s="3381"/>
      <c r="J392" s="3381"/>
      <c r="K392" s="3381"/>
      <c r="L392" s="3381"/>
      <c r="M392" s="3381"/>
      <c r="N392" s="3381"/>
      <c r="O392" s="3381"/>
      <c r="P392" s="3382"/>
      <c r="Q392" s="1174" t="s">
        <v>1266</v>
      </c>
    </row>
    <row r="393" spans="1:23" s="105" customFormat="1" ht="11.25" customHeight="1" thickTop="1">
      <c r="A393" s="43"/>
      <c r="B393" s="528" t="s">
        <v>1881</v>
      </c>
      <c r="C393" s="101"/>
      <c r="D393" s="100"/>
      <c r="E393" s="1604"/>
      <c r="F393" s="1594"/>
      <c r="G393" s="1594"/>
      <c r="H393" s="1594"/>
      <c r="I393" s="1594"/>
      <c r="J393" s="1594"/>
      <c r="K393" s="1594"/>
      <c r="L393" s="1594"/>
      <c r="M393" s="1594"/>
      <c r="N393" s="96"/>
      <c r="O393" s="925"/>
      <c r="P393" s="1585"/>
      <c r="Q393" s="441"/>
    </row>
    <row r="394" spans="1:23" s="44" customFormat="1" ht="11.25" customHeight="1">
      <c r="A394" s="3093"/>
      <c r="B394" s="3094"/>
      <c r="C394" s="3094"/>
      <c r="D394" s="3094"/>
      <c r="E394" s="3094"/>
      <c r="F394" s="3094"/>
      <c r="G394" s="3094"/>
      <c r="H394" s="3094"/>
      <c r="I394" s="3094"/>
      <c r="J394" s="3094"/>
      <c r="K394" s="3094"/>
      <c r="L394" s="3094"/>
      <c r="M394" s="3094"/>
      <c r="N394" s="3094"/>
      <c r="O394" s="3094"/>
      <c r="P394" s="3095"/>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4152</v>
      </c>
      <c r="C396" s="109" t="s">
        <v>2739</v>
      </c>
      <c r="D396" s="59"/>
      <c r="E396" s="53"/>
      <c r="J396" s="62"/>
      <c r="M396" s="1585">
        <v>3</v>
      </c>
      <c r="N396" s="6"/>
      <c r="O396" s="1194">
        <f>MIN($M396,O397+O405)</f>
        <v>2</v>
      </c>
      <c r="P396" s="1247">
        <f>MIN($M396,P397+P405)</f>
        <v>0</v>
      </c>
      <c r="Q396" s="112" t="s">
        <v>443</v>
      </c>
    </row>
    <row r="397" spans="1:23" s="44" customFormat="1" ht="12" customHeight="1">
      <c r="A397" s="143" t="s">
        <v>2000</v>
      </c>
      <c r="B397" s="172" t="s">
        <v>3676</v>
      </c>
      <c r="D397" s="34"/>
      <c r="E397" s="34"/>
      <c r="F397" s="34"/>
      <c r="J397" s="1336" t="s">
        <v>3841</v>
      </c>
      <c r="K397" s="1337"/>
      <c r="L397" s="1125">
        <f>'Part VI-Revenues &amp; Expenses'!$O$62*0.1</f>
        <v>8.4</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3092" t="s">
        <v>3840</v>
      </c>
      <c r="D398" s="3092"/>
      <c r="E398" s="3092"/>
      <c r="F398" s="3092"/>
      <c r="G398" s="3092"/>
      <c r="H398" s="3092"/>
      <c r="I398" s="3092"/>
      <c r="J398" s="1338" t="s">
        <v>3843</v>
      </c>
      <c r="K398" s="1334"/>
      <c r="L398" s="1127">
        <f>'Part VI-Revenues &amp; Expenses'!$O$58</f>
        <v>67</v>
      </c>
      <c r="M398" s="3442" t="str">
        <f>IF(L400&lt;L399,"Check 1BR LI count!","")</f>
        <v/>
      </c>
      <c r="N398" s="404" t="s">
        <v>2003</v>
      </c>
      <c r="O398" s="2235" t="s">
        <v>4553</v>
      </c>
      <c r="P398" s="1262"/>
      <c r="Q398" s="541"/>
      <c r="R398" s="535"/>
    </row>
    <row r="399" spans="1:23" s="427" customFormat="1" ht="11.25" customHeight="1">
      <c r="A399" s="148"/>
      <c r="B399" s="456"/>
      <c r="C399" s="3092"/>
      <c r="D399" s="3092"/>
      <c r="E399" s="3092"/>
      <c r="F399" s="3092"/>
      <c r="G399" s="3092"/>
      <c r="H399" s="3092"/>
      <c r="I399" s="3092"/>
      <c r="J399" s="1338" t="s">
        <v>3844</v>
      </c>
      <c r="K399" s="1335"/>
      <c r="L399" s="1128">
        <f>L398*0.1</f>
        <v>6.7</v>
      </c>
      <c r="M399" s="3442"/>
      <c r="N399" s="404"/>
      <c r="O399" s="404"/>
      <c r="P399" s="404"/>
      <c r="Q399" s="541"/>
      <c r="R399" s="535"/>
    </row>
    <row r="400" spans="1:23" s="427" customFormat="1" ht="11.25" customHeight="1">
      <c r="A400" s="148"/>
      <c r="B400" s="456"/>
      <c r="C400" s="3092"/>
      <c r="D400" s="3092"/>
      <c r="E400" s="3092"/>
      <c r="F400" s="3092"/>
      <c r="G400" s="3092"/>
      <c r="H400" s="3092"/>
      <c r="I400" s="3092"/>
      <c r="J400" s="1339" t="s">
        <v>3845</v>
      </c>
      <c r="K400" s="1340"/>
      <c r="L400" s="1129">
        <f>'Part VI-Revenues &amp; Expenses'!$K$58</f>
        <v>8</v>
      </c>
      <c r="M400" s="3442"/>
      <c r="N400" s="404"/>
      <c r="O400" s="404"/>
      <c r="P400" s="404"/>
      <c r="Q400" s="541"/>
      <c r="R400" s="535"/>
    </row>
    <row r="401" spans="1:18" s="451" customFormat="1" ht="11.25" customHeight="1">
      <c r="A401" s="552"/>
      <c r="B401" s="456" t="s">
        <v>2005</v>
      </c>
      <c r="C401" s="3397" t="s">
        <v>3417</v>
      </c>
      <c r="D401" s="3397"/>
      <c r="E401" s="3397"/>
      <c r="F401" s="3397"/>
      <c r="G401" s="3397"/>
      <c r="H401" s="3397"/>
      <c r="I401" s="3397"/>
      <c r="J401" s="3397"/>
      <c r="K401" s="3397"/>
      <c r="L401" s="3397"/>
      <c r="M401" s="3397"/>
      <c r="N401" s="404" t="s">
        <v>2005</v>
      </c>
      <c r="O401" s="2193" t="s">
        <v>3012</v>
      </c>
      <c r="P401" s="561"/>
    </row>
    <row r="402" spans="1:18" s="451" customFormat="1" ht="11.25" customHeight="1">
      <c r="A402" s="552"/>
      <c r="B402" s="456" t="s">
        <v>2552</v>
      </c>
      <c r="C402" s="405" t="s">
        <v>3842</v>
      </c>
      <c r="D402" s="405"/>
      <c r="E402" s="405"/>
      <c r="F402" s="405"/>
      <c r="G402" s="405"/>
      <c r="H402" s="405"/>
      <c r="I402" s="405"/>
      <c r="J402" s="405"/>
      <c r="K402" s="405"/>
      <c r="L402" s="405"/>
      <c r="M402" s="405"/>
      <c r="N402" s="404" t="s">
        <v>2552</v>
      </c>
      <c r="O402" s="2196" t="s">
        <v>3012</v>
      </c>
      <c r="P402" s="562"/>
    </row>
    <row r="403" spans="1:18" s="451" customFormat="1" ht="11.25" customHeight="1">
      <c r="A403" s="552"/>
      <c r="B403" s="456" t="s">
        <v>1236</v>
      </c>
      <c r="C403" s="3397" t="s">
        <v>3839</v>
      </c>
      <c r="D403" s="3397"/>
      <c r="E403" s="3397"/>
      <c r="F403" s="3397"/>
      <c r="G403" s="3397"/>
      <c r="H403" s="3397"/>
      <c r="I403" s="3397"/>
      <c r="J403" s="3397"/>
      <c r="K403" s="3397"/>
      <c r="L403" s="3397"/>
      <c r="M403" s="3397"/>
      <c r="N403" s="404" t="s">
        <v>1236</v>
      </c>
      <c r="O403" s="2192" t="s">
        <v>3012</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2002</v>
      </c>
      <c r="B405" s="172" t="s">
        <v>2740</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3092" t="s">
        <v>3862</v>
      </c>
      <c r="D406" s="3092"/>
      <c r="E406" s="3092"/>
      <c r="F406" s="3092"/>
      <c r="G406" s="3092"/>
      <c r="H406" s="3092"/>
      <c r="I406" s="3092"/>
      <c r="J406" s="3092"/>
      <c r="K406" s="3092"/>
      <c r="L406" s="3092"/>
      <c r="M406" s="622"/>
      <c r="N406" s="404" t="s">
        <v>2003</v>
      </c>
      <c r="O406" s="2235" t="s">
        <v>4554</v>
      </c>
      <c r="P406" s="1262"/>
      <c r="Q406" s="541"/>
      <c r="R406" s="535"/>
    </row>
    <row r="407" spans="1:18" s="427" customFormat="1" ht="11.25" customHeight="1">
      <c r="A407" s="148"/>
      <c r="B407" s="456"/>
      <c r="C407" s="498" t="s">
        <v>3681</v>
      </c>
      <c r="D407" s="1589"/>
      <c r="E407" s="1589"/>
      <c r="F407" s="1589"/>
      <c r="G407" s="3319"/>
      <c r="H407" s="3320"/>
      <c r="I407" s="3321"/>
      <c r="J407" s="1369" t="s">
        <v>3682</v>
      </c>
      <c r="L407" s="2254"/>
      <c r="M407" s="622"/>
      <c r="N407" s="404"/>
      <c r="O407" s="404"/>
      <c r="P407" s="404"/>
      <c r="Q407" s="541"/>
      <c r="R407" s="535"/>
    </row>
    <row r="408" spans="1:18" s="451" customFormat="1" ht="11.25" customHeight="1">
      <c r="A408" s="552"/>
      <c r="B408" s="456" t="s">
        <v>2005</v>
      </c>
      <c r="C408" s="405" t="s">
        <v>3418</v>
      </c>
      <c r="D408" s="405"/>
      <c r="E408" s="405"/>
      <c r="F408" s="405"/>
      <c r="G408" s="405"/>
      <c r="H408" s="405"/>
      <c r="I408" s="405"/>
      <c r="J408" s="405" t="s">
        <v>3680</v>
      </c>
      <c r="K408" s="405"/>
      <c r="L408" s="2255">
        <v>0</v>
      </c>
      <c r="M408" s="973">
        <f>IF('Part VI-Revenues &amp; Expenses'!$O$62=0,0,L408/'Part VI-Revenues &amp; Expenses'!$O$62)</f>
        <v>0</v>
      </c>
      <c r="N408" s="404" t="s">
        <v>2005</v>
      </c>
      <c r="O408" s="2235" t="s">
        <v>4554</v>
      </c>
      <c r="P408" s="1262"/>
    </row>
    <row r="409" spans="1:18" s="44" customFormat="1" ht="11.25" customHeight="1" thickBot="1">
      <c r="A409" s="43"/>
      <c r="B409" s="1332" t="s">
        <v>3782</v>
      </c>
      <c r="C409" s="43"/>
      <c r="D409" s="49"/>
      <c r="E409" s="49"/>
      <c r="F409" s="49"/>
      <c r="G409" s="49"/>
      <c r="H409" s="37"/>
      <c r="I409" s="37"/>
      <c r="J409" s="37"/>
      <c r="K409" s="37"/>
      <c r="M409" s="47"/>
      <c r="N409" s="63"/>
      <c r="O409" s="3"/>
      <c r="P409" s="1587"/>
    </row>
    <row r="410" spans="1:18" s="44" customFormat="1" ht="36.75" customHeight="1" thickTop="1" thickBot="1">
      <c r="A410" s="3380" t="s">
        <v>4555</v>
      </c>
      <c r="B410" s="3381"/>
      <c r="C410" s="3381"/>
      <c r="D410" s="3381"/>
      <c r="E410" s="3381"/>
      <c r="F410" s="3381"/>
      <c r="G410" s="3381"/>
      <c r="H410" s="3381"/>
      <c r="I410" s="3381"/>
      <c r="J410" s="3381"/>
      <c r="K410" s="3381"/>
      <c r="L410" s="3381"/>
      <c r="M410" s="3381"/>
      <c r="N410" s="3381"/>
      <c r="O410" s="3381"/>
      <c r="P410" s="3382"/>
      <c r="Q410" s="1174" t="s">
        <v>1266</v>
      </c>
      <c r="R410" s="462"/>
    </row>
    <row r="411" spans="1:18" s="44" customFormat="1" ht="10.5" customHeight="1" thickTop="1">
      <c r="B411" s="88" t="s">
        <v>1881</v>
      </c>
      <c r="C411" s="101"/>
      <c r="D411" s="88"/>
      <c r="E411" s="102"/>
      <c r="F411" s="1588"/>
      <c r="G411" s="1588"/>
      <c r="H411" s="1588"/>
      <c r="I411" s="1588"/>
      <c r="J411" s="1588"/>
      <c r="K411" s="1588"/>
      <c r="L411" s="1588"/>
      <c r="M411" s="1588"/>
      <c r="N411" s="77"/>
      <c r="O411" s="73"/>
      <c r="P411" s="1585"/>
      <c r="Q411" s="441"/>
    </row>
    <row r="412" spans="1:18" s="44" customFormat="1" ht="11.25" customHeight="1">
      <c r="A412" s="3093"/>
      <c r="B412" s="3094"/>
      <c r="C412" s="3094"/>
      <c r="D412" s="3094"/>
      <c r="E412" s="3094"/>
      <c r="F412" s="3094"/>
      <c r="G412" s="3094"/>
      <c r="H412" s="3094"/>
      <c r="I412" s="3094"/>
      <c r="J412" s="3094"/>
      <c r="K412" s="3094"/>
      <c r="L412" s="3094"/>
      <c r="M412" s="3094"/>
      <c r="N412" s="3094"/>
      <c r="O412" s="3094"/>
      <c r="P412" s="3095"/>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4155</v>
      </c>
      <c r="B414" s="108" t="s">
        <v>2741</v>
      </c>
      <c r="D414" s="41"/>
      <c r="G414" s="62" t="s">
        <v>3414</v>
      </c>
      <c r="J414" s="37" t="s">
        <v>3420</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3486</v>
      </c>
      <c r="D416" s="3416" t="s">
        <v>2924</v>
      </c>
      <c r="E416" s="3417"/>
      <c r="F416" s="3417"/>
      <c r="G416" s="3417"/>
      <c r="H416" s="3417"/>
      <c r="I416" s="3418"/>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3702</v>
      </c>
      <c r="C418" s="405"/>
      <c r="D418" s="405"/>
      <c r="E418" s="405"/>
      <c r="F418" s="405"/>
      <c r="G418" s="405"/>
      <c r="H418" s="405"/>
      <c r="I418" s="405"/>
      <c r="M418" s="428">
        <v>1</v>
      </c>
      <c r="N418" s="166" t="s">
        <v>2000</v>
      </c>
      <c r="O418" s="2201"/>
      <c r="P418" s="912"/>
      <c r="Q418" s="1090" t="str">
        <f>IF(OR($O418=$M418,$O418=0,$O418=""),"","*CHECK!*")</f>
        <v/>
      </c>
      <c r="R418" s="1192" t="s">
        <v>2726</v>
      </c>
    </row>
    <row r="419" spans="1:19" s="427" customFormat="1" ht="12" customHeight="1">
      <c r="A419" s="426"/>
      <c r="B419" s="3388" t="s">
        <v>4248</v>
      </c>
      <c r="C419" s="3388"/>
      <c r="D419" s="3388"/>
      <c r="E419" s="3388"/>
      <c r="F419" s="3388"/>
      <c r="G419" s="3388"/>
      <c r="H419" s="3388"/>
      <c r="I419" s="3388"/>
      <c r="J419" s="3388"/>
      <c r="K419" s="3388"/>
      <c r="L419" s="3388"/>
      <c r="M419" s="3092" t="s">
        <v>4250</v>
      </c>
      <c r="N419" s="3092"/>
      <c r="Q419" s="179"/>
    </row>
    <row r="420" spans="1:19" s="427" customFormat="1" ht="12" customHeight="1">
      <c r="B420" s="3388"/>
      <c r="C420" s="3388"/>
      <c r="D420" s="3388"/>
      <c r="E420" s="3388"/>
      <c r="F420" s="3388"/>
      <c r="G420" s="3388"/>
      <c r="H420" s="3388"/>
      <c r="I420" s="3388"/>
      <c r="J420" s="3388"/>
      <c r="K420" s="3388"/>
      <c r="L420" s="3388"/>
      <c r="M420" s="3092"/>
      <c r="N420" s="3092"/>
      <c r="O420" s="3398">
        <f>'Part VI-Revenues &amp; Expenses'!$O$82</f>
        <v>0</v>
      </c>
      <c r="P420" s="3399"/>
      <c r="Q420" s="179"/>
    </row>
    <row r="421" spans="1:19" s="427" customFormat="1" ht="12" customHeight="1">
      <c r="B421" s="3388"/>
      <c r="C421" s="3388"/>
      <c r="D421" s="3388"/>
      <c r="E421" s="3388"/>
      <c r="F421" s="3388"/>
      <c r="G421" s="3388"/>
      <c r="H421" s="3388"/>
      <c r="I421" s="3388"/>
      <c r="J421" s="3388"/>
      <c r="K421" s="3388"/>
      <c r="L421" s="3388"/>
      <c r="M421" s="41" t="s">
        <v>2849</v>
      </c>
      <c r="N421" s="428"/>
      <c r="O421" s="3398">
        <f>'Part VI-Revenues &amp; Expenses'!$O$62</f>
        <v>84</v>
      </c>
      <c r="P421" s="3399"/>
      <c r="Q421" s="179"/>
    </row>
    <row r="422" spans="1:19" s="427" customFormat="1" ht="12" customHeight="1">
      <c r="B422" s="3389"/>
      <c r="C422" s="3389"/>
      <c r="D422" s="3389"/>
      <c r="E422" s="3389"/>
      <c r="F422" s="3389"/>
      <c r="G422" s="3389"/>
      <c r="H422" s="3389"/>
      <c r="I422" s="3389"/>
      <c r="J422" s="3389"/>
      <c r="K422" s="3389"/>
      <c r="L422" s="3389"/>
      <c r="M422" s="550" t="s">
        <v>2850</v>
      </c>
      <c r="N422" s="428"/>
      <c r="O422" s="3384">
        <f>IF(O421=0,0,O420/O421)</f>
        <v>0</v>
      </c>
      <c r="P422" s="3385"/>
      <c r="Q422" s="179"/>
    </row>
    <row r="423" spans="1:19" s="44" customFormat="1" ht="66.75" customHeight="1">
      <c r="A423" s="552"/>
      <c r="B423" s="3439" t="s">
        <v>4255</v>
      </c>
      <c r="C423" s="3440"/>
      <c r="D423" s="3440"/>
      <c r="E423" s="3440"/>
      <c r="F423" s="3440"/>
      <c r="G423" s="3440"/>
      <c r="H423" s="3440"/>
      <c r="I423" s="3440"/>
      <c r="J423" s="3440"/>
      <c r="K423" s="3440"/>
      <c r="L423" s="3440"/>
      <c r="M423" s="3440"/>
      <c r="N423" s="3440"/>
      <c r="O423" s="3440"/>
      <c r="P423" s="3441"/>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3380</v>
      </c>
      <c r="C425" s="144"/>
      <c r="D425" s="924"/>
      <c r="H425" s="405"/>
      <c r="M425" s="428">
        <v>1</v>
      </c>
      <c r="N425" s="166" t="s">
        <v>2002</v>
      </c>
      <c r="O425" s="2201"/>
      <c r="P425" s="912"/>
      <c r="Q425" s="1090" t="str">
        <f>IF(OR($O425=$M425,$O425=0,$O425=""),"","*CHECK!*")</f>
        <v/>
      </c>
      <c r="R425" s="1192" t="s">
        <v>2726</v>
      </c>
    </row>
    <row r="426" spans="1:19" s="427" customFormat="1" ht="11.25" customHeight="1">
      <c r="A426" s="553"/>
      <c r="B426" s="3091" t="s">
        <v>4249</v>
      </c>
      <c r="C426" s="3091"/>
      <c r="D426" s="3091"/>
      <c r="E426" s="3091"/>
      <c r="F426" s="3091"/>
      <c r="G426" s="3091"/>
      <c r="H426" s="3091"/>
      <c r="I426" s="3091"/>
      <c r="J426" s="3091"/>
      <c r="K426" s="3091"/>
      <c r="L426" s="3091"/>
      <c r="M426" s="498" t="s">
        <v>2849</v>
      </c>
      <c r="N426" s="428"/>
      <c r="O426" s="3386">
        <f>'Part VI-Revenues &amp; Expenses'!$O$62</f>
        <v>84</v>
      </c>
      <c r="P426" s="3387"/>
      <c r="Q426" s="179"/>
    </row>
    <row r="427" spans="1:19" s="427" customFormat="1" ht="11.25" customHeight="1">
      <c r="A427" s="553"/>
      <c r="B427" s="3091"/>
      <c r="C427" s="3091"/>
      <c r="D427" s="3091"/>
      <c r="E427" s="3091"/>
      <c r="F427" s="3091"/>
      <c r="G427" s="3091"/>
      <c r="H427" s="3091"/>
      <c r="I427" s="3091"/>
      <c r="J427" s="3091"/>
      <c r="K427" s="3091"/>
      <c r="L427" s="3091"/>
      <c r="M427" s="550" t="s">
        <v>2850</v>
      </c>
      <c r="N427" s="428"/>
      <c r="O427" s="3384">
        <f>IF(O426=0,0,L414/O426)</f>
        <v>0</v>
      </c>
      <c r="P427" s="3385"/>
      <c r="Q427" s="179"/>
    </row>
    <row r="428" spans="1:19" s="44" customFormat="1" ht="11.25" customHeight="1" thickBot="1">
      <c r="A428" s="43"/>
      <c r="B428" s="1332" t="s">
        <v>3782</v>
      </c>
      <c r="C428" s="43"/>
      <c r="D428" s="49"/>
      <c r="E428" s="49"/>
      <c r="F428" s="49"/>
      <c r="G428" s="49"/>
      <c r="H428" s="37"/>
      <c r="I428" s="37"/>
      <c r="J428" s="37"/>
      <c r="K428" s="37"/>
      <c r="M428" s="47"/>
      <c r="N428" s="63"/>
      <c r="O428" s="3"/>
      <c r="P428" s="1587"/>
    </row>
    <row r="429" spans="1:19" s="44" customFormat="1" ht="21.75" customHeight="1" thickTop="1" thickBot="1">
      <c r="A429" s="3380" t="s">
        <v>4552</v>
      </c>
      <c r="B429" s="3381"/>
      <c r="C429" s="3381"/>
      <c r="D429" s="3381"/>
      <c r="E429" s="3381"/>
      <c r="F429" s="3381"/>
      <c r="G429" s="3381"/>
      <c r="H429" s="3381"/>
      <c r="I429" s="3381"/>
      <c r="J429" s="3381"/>
      <c r="K429" s="3381"/>
      <c r="L429" s="3381"/>
      <c r="M429" s="3381"/>
      <c r="N429" s="3381"/>
      <c r="O429" s="3381"/>
      <c r="P429" s="3382"/>
      <c r="Q429" s="1174" t="s">
        <v>1266</v>
      </c>
      <c r="R429" s="462"/>
    </row>
    <row r="430" spans="1:19" s="44" customFormat="1" ht="10.5" customHeight="1" thickTop="1">
      <c r="B430" s="88" t="s">
        <v>1881</v>
      </c>
      <c r="C430" s="101"/>
      <c r="D430" s="88"/>
      <c r="E430" s="102"/>
      <c r="F430" s="1588"/>
      <c r="G430" s="1588"/>
      <c r="H430" s="1588"/>
      <c r="I430" s="1588"/>
      <c r="J430" s="1588"/>
      <c r="K430" s="1588"/>
      <c r="L430" s="1588"/>
      <c r="M430" s="1588"/>
      <c r="N430" s="77"/>
      <c r="O430" s="73"/>
      <c r="P430" s="1585"/>
      <c r="Q430" s="441"/>
    </row>
    <row r="431" spans="1:19" s="44" customFormat="1" ht="11.25" customHeight="1">
      <c r="A431" s="3093"/>
      <c r="B431" s="3094"/>
      <c r="C431" s="3094"/>
      <c r="D431" s="3094"/>
      <c r="E431" s="3094"/>
      <c r="F431" s="3094"/>
      <c r="G431" s="3094"/>
      <c r="H431" s="3094"/>
      <c r="I431" s="3094"/>
      <c r="J431" s="3094"/>
      <c r="K431" s="3094"/>
      <c r="L431" s="3094"/>
      <c r="M431" s="3094"/>
      <c r="N431" s="3094"/>
      <c r="O431" s="3094"/>
      <c r="P431" s="3095"/>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4156</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2256"/>
      <c r="P436" s="1251"/>
      <c r="Q436" s="112"/>
    </row>
    <row r="437" spans="1:18" s="105" customFormat="1" ht="10.5" customHeight="1">
      <c r="A437" s="159"/>
      <c r="B437" s="89" t="s">
        <v>3686</v>
      </c>
      <c r="D437" s="46"/>
      <c r="E437" s="46"/>
      <c r="F437" s="40"/>
      <c r="G437" s="37"/>
      <c r="I437" s="37"/>
      <c r="J437" s="37"/>
      <c r="K437" s="37"/>
      <c r="L437" s="391"/>
      <c r="M437" s="1585"/>
      <c r="N437" s="6"/>
      <c r="O437" s="2257"/>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5"/>
    </row>
    <row r="439" spans="1:18" s="44" customFormat="1" ht="11.25" customHeight="1">
      <c r="A439" s="3093"/>
      <c r="B439" s="3094"/>
      <c r="C439" s="3094"/>
      <c r="D439" s="3094"/>
      <c r="E439" s="3094"/>
      <c r="F439" s="3094"/>
      <c r="G439" s="3094"/>
      <c r="H439" s="3094"/>
      <c r="I439" s="3094"/>
      <c r="J439" s="3094"/>
      <c r="K439" s="3094"/>
      <c r="L439" s="3094"/>
      <c r="M439" s="3094"/>
      <c r="N439" s="3094"/>
      <c r="O439" s="3094"/>
      <c r="P439" s="3095"/>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22</v>
      </c>
    </row>
    <row r="442" spans="1:18" s="43" customFormat="1" ht="11.25" customHeight="1" thickTop="1">
      <c r="A442" s="55"/>
      <c r="B442" s="70"/>
      <c r="C442" s="55"/>
      <c r="D442" s="36"/>
      <c r="E442" s="36"/>
      <c r="F442" s="72"/>
      <c r="G442" s="72"/>
      <c r="H442" s="172" t="s">
        <v>4243</v>
      </c>
      <c r="J442" s="71"/>
      <c r="K442" s="71"/>
      <c r="L442" s="44"/>
      <c r="M442" s="36"/>
      <c r="N442" s="1585"/>
      <c r="O442" s="1585"/>
      <c r="P442" s="482">
        <f>P228</f>
        <v>0</v>
      </c>
    </row>
    <row r="443" spans="1:18" s="43" customFormat="1" ht="11.25" customHeight="1">
      <c r="A443" s="55"/>
      <c r="B443" s="70"/>
      <c r="C443" s="55"/>
      <c r="D443" s="36"/>
      <c r="E443" s="36"/>
      <c r="F443" s="72"/>
      <c r="G443" s="72"/>
      <c r="H443" s="172" t="s">
        <v>4244</v>
      </c>
      <c r="J443" s="71"/>
      <c r="K443" s="71"/>
      <c r="L443" s="44"/>
      <c r="M443" s="36"/>
      <c r="N443" s="1585"/>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3471" t="s">
        <v>3716</v>
      </c>
      <c r="B446" s="3471"/>
      <c r="C446" s="3471"/>
      <c r="D446" s="3471"/>
      <c r="E446" s="3471"/>
      <c r="F446" s="3471"/>
      <c r="G446" s="3471"/>
      <c r="H446" s="3471"/>
      <c r="I446" s="3471"/>
      <c r="J446" s="3471"/>
      <c r="K446" s="3471"/>
      <c r="L446" s="3471"/>
      <c r="M446" s="3471"/>
      <c r="N446" s="3471"/>
      <c r="O446" s="3471"/>
      <c r="P446" s="3471"/>
    </row>
    <row r="447" spans="1:18" s="44" customFormat="1" ht="349.5" customHeight="1">
      <c r="A447" s="3101" t="s">
        <v>4727</v>
      </c>
      <c r="B447" s="3102"/>
      <c r="C447" s="3102"/>
      <c r="D447" s="3102"/>
      <c r="E447" s="3102"/>
      <c r="F447" s="3102"/>
      <c r="G447" s="3102"/>
      <c r="H447" s="3102"/>
      <c r="I447" s="3102"/>
      <c r="J447" s="3102"/>
      <c r="K447" s="3102"/>
      <c r="L447" s="3102"/>
      <c r="M447" s="3102"/>
      <c r="N447" s="3102"/>
      <c r="O447" s="3102"/>
      <c r="P447" s="3103"/>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3438</v>
      </c>
      <c r="K470" s="469"/>
      <c r="L470" s="469"/>
      <c r="M470" s="469"/>
      <c r="N470" s="470"/>
      <c r="O470" s="1322" t="s">
        <v>3796</v>
      </c>
      <c r="P470" s="1318"/>
      <c r="Q470" s="1228"/>
      <c r="T470" s="164"/>
      <c r="U470" s="164"/>
      <c r="V470" s="164"/>
      <c r="W470" s="164"/>
      <c r="X470" s="164"/>
    </row>
    <row r="471" spans="3:24" s="503" customFormat="1">
      <c r="C471" s="1229" t="s">
        <v>1401</v>
      </c>
      <c r="D471" s="469"/>
      <c r="E471" s="469"/>
      <c r="F471" s="469"/>
      <c r="G471" s="469"/>
      <c r="H471" s="469"/>
      <c r="I471" s="469"/>
      <c r="J471" s="1319" t="s">
        <v>3439</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3423</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3424</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3425</v>
      </c>
      <c r="K474" s="469"/>
      <c r="L474" s="469"/>
      <c r="M474" s="469"/>
      <c r="N474" s="470"/>
      <c r="O474" s="1318">
        <v>2</v>
      </c>
      <c r="P474" s="1318"/>
      <c r="Q474" s="536"/>
      <c r="R474" s="164"/>
      <c r="S474" s="164"/>
      <c r="T474" s="164"/>
      <c r="U474" s="164"/>
      <c r="V474" s="164"/>
      <c r="W474" s="164"/>
      <c r="X474" s="164"/>
    </row>
    <row r="475" spans="3:24" s="503" customFormat="1">
      <c r="C475" s="469" t="s">
        <v>2806</v>
      </c>
      <c r="D475" s="469"/>
      <c r="E475" s="469"/>
      <c r="F475" s="469"/>
      <c r="G475" s="1323" t="s">
        <v>1515</v>
      </c>
      <c r="H475" s="1324"/>
      <c r="I475" s="1323"/>
      <c r="J475" s="469" t="s">
        <v>3426</v>
      </c>
      <c r="K475" s="469"/>
      <c r="L475" s="1323"/>
      <c r="M475" s="469"/>
      <c r="N475" s="470"/>
      <c r="O475" s="1318">
        <v>2</v>
      </c>
      <c r="P475" s="1318"/>
      <c r="Q475" s="536"/>
      <c r="R475" s="164"/>
      <c r="S475" s="164"/>
      <c r="T475" s="164"/>
      <c r="U475" s="164"/>
      <c r="V475" s="164"/>
      <c r="W475" s="164"/>
      <c r="X475" s="164"/>
    </row>
    <row r="476" spans="3:24" s="503" customFormat="1">
      <c r="C476" s="1325" t="s">
        <v>2808</v>
      </c>
      <c r="D476" s="469"/>
      <c r="E476" s="469"/>
      <c r="F476" s="469"/>
      <c r="G476" s="1326" t="s">
        <v>2540</v>
      </c>
      <c r="H476" s="1324"/>
      <c r="I476" s="1326"/>
      <c r="J476" s="469" t="s">
        <v>3794</v>
      </c>
      <c r="K476" s="469"/>
      <c r="L476" s="1326"/>
      <c r="M476" s="469"/>
      <c r="N476" s="470"/>
      <c r="O476" s="1318">
        <v>2</v>
      </c>
      <c r="P476" s="1318"/>
      <c r="Q476" s="536"/>
      <c r="R476" s="164"/>
      <c r="S476" s="164"/>
      <c r="T476" s="164"/>
      <c r="U476" s="164"/>
      <c r="V476" s="164"/>
      <c r="W476" s="164"/>
      <c r="X476" s="164"/>
    </row>
    <row r="477" spans="3:24" s="503" customFormat="1">
      <c r="C477" s="1325" t="s">
        <v>2809</v>
      </c>
      <c r="D477" s="469"/>
      <c r="E477" s="469"/>
      <c r="F477" s="469"/>
      <c r="G477" s="1326" t="s">
        <v>1795</v>
      </c>
      <c r="H477" s="1324"/>
      <c r="I477" s="1327"/>
      <c r="J477" s="1324" t="s">
        <v>3427</v>
      </c>
      <c r="K477" s="469"/>
      <c r="L477" s="1327"/>
      <c r="M477" s="469"/>
      <c r="N477" s="470"/>
      <c r="O477" s="1318">
        <v>1</v>
      </c>
      <c r="P477" s="1318"/>
      <c r="Q477" s="536"/>
      <c r="R477" s="164"/>
      <c r="S477" s="164"/>
      <c r="T477" s="164"/>
      <c r="U477" s="164"/>
      <c r="V477" s="164"/>
      <c r="W477" s="164"/>
      <c r="X477" s="164"/>
    </row>
    <row r="478" spans="3:24" s="503" customFormat="1">
      <c r="C478" s="1325" t="s">
        <v>2810</v>
      </c>
      <c r="D478" s="469"/>
      <c r="E478" s="469"/>
      <c r="F478" s="469"/>
      <c r="G478" s="1326" t="s">
        <v>1649</v>
      </c>
      <c r="H478" s="1324"/>
      <c r="I478" s="1327"/>
      <c r="J478" s="1324" t="s">
        <v>3428</v>
      </c>
      <c r="K478" s="469"/>
      <c r="L478" s="1327"/>
      <c r="M478" s="469"/>
      <c r="N478" s="470"/>
      <c r="O478" s="1318">
        <v>1</v>
      </c>
      <c r="P478" s="1318"/>
      <c r="Q478" s="536"/>
      <c r="R478" s="164"/>
      <c r="S478" s="164"/>
      <c r="T478" s="164"/>
      <c r="U478" s="164"/>
      <c r="V478" s="164"/>
      <c r="W478" s="164"/>
      <c r="X478" s="164"/>
    </row>
    <row r="479" spans="3:24" s="503" customFormat="1">
      <c r="C479" s="1325" t="s">
        <v>2811</v>
      </c>
      <c r="D479" s="469"/>
      <c r="E479" s="469"/>
      <c r="F479" s="469"/>
      <c r="G479" s="1326" t="s">
        <v>1046</v>
      </c>
      <c r="H479" s="1324"/>
      <c r="I479" s="1327"/>
      <c r="J479" s="1324" t="s">
        <v>3429</v>
      </c>
      <c r="K479" s="469"/>
      <c r="L479" s="1327"/>
      <c r="M479" s="469"/>
      <c r="N479" s="470"/>
      <c r="O479" s="1318">
        <v>1</v>
      </c>
      <c r="P479" s="1318"/>
      <c r="Q479" s="536"/>
      <c r="R479" s="164"/>
      <c r="S479" s="164"/>
      <c r="T479" s="164"/>
      <c r="U479" s="164"/>
      <c r="V479" s="164"/>
      <c r="W479" s="164"/>
      <c r="X479" s="164"/>
    </row>
    <row r="480" spans="3:24" s="503" customFormat="1">
      <c r="C480" s="1325" t="s">
        <v>2812</v>
      </c>
      <c r="D480" s="469"/>
      <c r="E480" s="469"/>
      <c r="F480" s="469"/>
      <c r="G480" s="1326" t="s">
        <v>2088</v>
      </c>
      <c r="H480" s="1324"/>
      <c r="I480" s="1327"/>
      <c r="J480" s="1324" t="s">
        <v>3795</v>
      </c>
      <c r="K480" s="469"/>
      <c r="L480" s="1327"/>
      <c r="M480" s="469"/>
      <c r="N480" s="470"/>
      <c r="O480" s="1318">
        <v>1</v>
      </c>
      <c r="P480" s="1318"/>
      <c r="Q480" s="536"/>
      <c r="R480" s="164"/>
      <c r="S480" s="164"/>
      <c r="T480" s="164"/>
      <c r="U480" s="164"/>
      <c r="V480" s="164"/>
      <c r="W480" s="164"/>
      <c r="X480" s="164"/>
    </row>
    <row r="481" spans="1:24" s="503" customFormat="1">
      <c r="C481" s="1325" t="s">
        <v>2813</v>
      </c>
      <c r="D481" s="469"/>
      <c r="E481" s="469"/>
      <c r="F481" s="469"/>
      <c r="G481" s="1326" t="s">
        <v>3836</v>
      </c>
      <c r="H481" s="1324"/>
      <c r="I481" s="1327"/>
      <c r="J481" s="1324" t="s">
        <v>3437</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3430</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3431</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3432</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3433</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3436</v>
      </c>
      <c r="K486" s="469"/>
      <c r="L486" s="1327"/>
      <c r="M486" s="469"/>
      <c r="N486" s="470"/>
      <c r="O486" s="1318">
        <v>1</v>
      </c>
      <c r="P486" s="1318"/>
      <c r="Q486" s="536"/>
      <c r="R486" s="164"/>
      <c r="S486" s="164"/>
      <c r="T486" s="164"/>
      <c r="U486" s="164"/>
      <c r="V486" s="164"/>
      <c r="W486" s="164"/>
      <c r="X486" s="164"/>
    </row>
    <row r="487" spans="1:24" s="503" customFormat="1">
      <c r="A487" s="1145" t="s">
        <v>2815</v>
      </c>
      <c r="C487" s="469"/>
      <c r="D487" s="469"/>
      <c r="E487" s="469"/>
      <c r="F487" s="469"/>
      <c r="G487" s="1326" t="s">
        <v>1771</v>
      </c>
      <c r="H487" s="1324"/>
      <c r="I487" s="1327"/>
      <c r="J487" s="1324" t="s">
        <v>3434</v>
      </c>
      <c r="K487" s="469"/>
      <c r="L487" s="1327"/>
      <c r="M487" s="469"/>
      <c r="N487" s="470"/>
      <c r="O487" s="1318">
        <v>1</v>
      </c>
      <c r="P487" s="1318"/>
      <c r="Q487" s="536"/>
      <c r="R487" s="164"/>
      <c r="S487" s="164"/>
      <c r="T487" s="164"/>
      <c r="U487" s="164"/>
      <c r="V487" s="164"/>
      <c r="W487" s="164"/>
      <c r="X487" s="164"/>
    </row>
    <row r="488" spans="1:24" s="503" customFormat="1">
      <c r="A488" s="1145" t="s">
        <v>2843</v>
      </c>
      <c r="C488" s="469"/>
      <c r="D488" s="469"/>
      <c r="E488" s="469"/>
      <c r="F488" s="469"/>
      <c r="G488" s="1326" t="s">
        <v>88</v>
      </c>
      <c r="H488" s="1324"/>
      <c r="I488" s="1327"/>
      <c r="J488" s="1324" t="s">
        <v>3435</v>
      </c>
      <c r="K488" s="469"/>
      <c r="L488" s="1327"/>
      <c r="M488" s="469"/>
      <c r="N488" s="470"/>
      <c r="O488" s="1318">
        <v>1</v>
      </c>
      <c r="P488" s="1318"/>
      <c r="Q488" s="536"/>
      <c r="R488" s="164"/>
      <c r="S488" s="164"/>
      <c r="T488" s="164"/>
      <c r="U488" s="164"/>
      <c r="V488" s="164"/>
      <c r="W488" s="164"/>
      <c r="X488" s="164"/>
    </row>
    <row r="489" spans="1:24" s="503" customFormat="1">
      <c r="A489" s="1157" t="s">
        <v>3399</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3400</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3401</v>
      </c>
      <c r="C491" s="469"/>
      <c r="D491" s="1325"/>
      <c r="E491" s="1325">
        <v>10</v>
      </c>
      <c r="F491" s="469"/>
      <c r="G491" s="1326" t="s">
        <v>2075</v>
      </c>
      <c r="H491" s="1324"/>
      <c r="I491" s="1327"/>
      <c r="J491" s="1328" t="s">
        <v>3805</v>
      </c>
      <c r="K491" s="469"/>
      <c r="L491" s="1327"/>
      <c r="M491" s="469"/>
      <c r="N491" s="470"/>
      <c r="O491" s="1318"/>
      <c r="P491" s="1318"/>
      <c r="Q491" s="536"/>
      <c r="R491" s="164"/>
      <c r="S491" s="164"/>
      <c r="T491" s="164"/>
      <c r="U491" s="164"/>
      <c r="V491" s="164"/>
      <c r="W491" s="164"/>
      <c r="X491" s="164"/>
    </row>
    <row r="492" spans="1:24" s="503" customFormat="1">
      <c r="A492" s="1157" t="s">
        <v>2844</v>
      </c>
      <c r="C492" s="469"/>
      <c r="D492" s="1325"/>
      <c r="E492" s="1325"/>
      <c r="F492" s="469"/>
      <c r="G492" s="1326" t="s">
        <v>607</v>
      </c>
      <c r="H492" s="1324"/>
      <c r="I492" s="1327"/>
      <c r="J492" s="1324" t="s">
        <v>4020</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4015</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3798</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4008</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3799</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4009</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3800</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4011</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4016</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4019</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3801</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3802</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4014</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4017</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4018</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3803</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3804</v>
      </c>
      <c r="K508" s="469"/>
      <c r="L508" s="1327"/>
      <c r="M508" s="469"/>
      <c r="N508" s="470"/>
      <c r="O508" s="1318"/>
      <c r="P508" s="1318"/>
      <c r="Q508" s="536"/>
    </row>
    <row r="509" spans="1:24" s="164" customFormat="1">
      <c r="A509" s="503"/>
      <c r="B509" s="503"/>
      <c r="C509" s="1329"/>
      <c r="D509" s="469"/>
      <c r="E509" s="469"/>
      <c r="F509" s="469"/>
      <c r="G509" s="1326" t="s">
        <v>3416</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4105</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4707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opHPPSstKzAIgaAUZwLw6M19kZFE++222nI0pX5Lh+2AarG4dUkCysMC6r6vWQQRQNj+ZmTD/F5tCddmyAJDjA==" saltValue="s00dXmfj3DEDauweK8Kqp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Grayling Place</v>
      </c>
    </row>
    <row r="3" spans="1:6" s="34" customFormat="1" ht="13.5" customHeight="1">
      <c r="A3" s="917" t="str">
        <f>CONCATENATE('Part I-Project Information'!$F$38,", ", 'Part I-Project Information'!$J$39," County")</f>
        <v>Columbus, Muscogee County</v>
      </c>
    </row>
    <row r="4" spans="1:6" ht="6.75" customHeight="1"/>
    <row r="5" spans="1:6" ht="365.25" customHeight="1">
      <c r="A5" s="2433" t="s">
        <v>4686</v>
      </c>
      <c r="B5" s="3599" t="s">
        <v>4258</v>
      </c>
      <c r="C5" s="3599"/>
      <c r="D5" s="3599"/>
      <c r="E5" s="3599"/>
      <c r="F5" s="3599"/>
    </row>
    <row r="6" spans="1:6" ht="143.25" customHeight="1">
      <c r="A6" s="2433"/>
      <c r="B6" s="3599"/>
      <c r="C6" s="3599"/>
      <c r="D6" s="3599"/>
      <c r="E6" s="3599"/>
      <c r="F6" s="3599"/>
    </row>
    <row r="7" spans="1:6" ht="134.25" customHeight="1">
      <c r="A7" s="2433"/>
      <c r="B7" s="3599"/>
      <c r="C7" s="3599"/>
      <c r="D7" s="3599"/>
      <c r="E7" s="3599"/>
      <c r="F7" s="3599"/>
    </row>
    <row r="8" spans="1:6" ht="6.6" customHeight="1">
      <c r="A8" s="2433"/>
    </row>
    <row r="9" spans="1:6" ht="111" customHeight="1">
      <c r="A9" s="2433"/>
    </row>
    <row r="10" spans="1:6" ht="6.6" customHeight="1">
      <c r="A10" s="2433"/>
    </row>
    <row r="11" spans="1:6" ht="111" customHeight="1">
      <c r="A11" s="2433"/>
    </row>
    <row r="12" spans="1:6" ht="6.6" customHeight="1">
      <c r="A12" s="2433"/>
    </row>
    <row r="13" spans="1:6" ht="165" customHeight="1">
      <c r="A13" s="2433"/>
    </row>
    <row r="14" spans="1:6" ht="6.6" customHeight="1">
      <c r="A14" s="2433"/>
    </row>
    <row r="15" spans="1:6" ht="111" customHeight="1">
      <c r="A15" s="2433"/>
    </row>
    <row r="16" spans="1:6" ht="6.6" customHeight="1">
      <c r="A16" s="2433"/>
    </row>
    <row r="17" spans="1:1" ht="111" customHeight="1">
      <c r="A17" s="2433"/>
    </row>
    <row r="18" spans="1:1" ht="6.6" customHeight="1">
      <c r="A18" s="2433"/>
    </row>
    <row r="19" spans="1:1" ht="105.75" customHeight="1">
      <c r="A19" s="2433"/>
    </row>
    <row r="20" spans="1:1" ht="6.6" customHeight="1">
      <c r="A20" s="2433"/>
    </row>
    <row r="21" spans="1:1" ht="105.75" customHeight="1">
      <c r="A21" s="2433"/>
    </row>
    <row r="22" spans="1:1" ht="6.6" customHeight="1">
      <c r="A22" s="2433"/>
    </row>
    <row r="23" spans="1:1" ht="105.75" customHeight="1">
      <c r="A23" s="2433"/>
    </row>
    <row r="24" spans="1:1" ht="6.6" customHeight="1">
      <c r="A24" s="916"/>
    </row>
  </sheetData>
  <sheetProtection algorithmName="SHA-512" hashValue="q8nWEqfdUhvILwfMXqOty0agHTJsaTJrTrIzA53gJaVuGLpDE2H0vTQYktX8iB1aiDGdT/fNkmLPBCLjbRREsA==" saltValue="c1jaXwUFoR5TuRVQXobAJ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16105048</v>
      </c>
    </row>
    <row r="5" spans="1:7">
      <c r="A5" s="1373" t="s">
        <v>4291</v>
      </c>
      <c r="B5" s="1374">
        <f>+B18+B26+B38</f>
        <v>1958586.9966272279</v>
      </c>
    </row>
    <row r="6" spans="1:7">
      <c r="A6" s="1373" t="s">
        <v>4261</v>
      </c>
      <c r="B6" s="1375">
        <f>+B5-B4</f>
        <v>-14146461.003372772</v>
      </c>
    </row>
    <row r="7" spans="1:7">
      <c r="A7" s="1373" t="s">
        <v>4262</v>
      </c>
      <c r="B7" s="1376">
        <f>+B6/B4</f>
        <v>-0.87838676440907049</v>
      </c>
    </row>
    <row r="8" spans="1:7" ht="9" customHeight="1"/>
    <row r="9" spans="1:7">
      <c r="A9" s="1373" t="s">
        <v>4263</v>
      </c>
      <c r="B9" s="1374">
        <f>+B18+B26+B33</f>
        <v>1958586.9966272279</v>
      </c>
    </row>
    <row r="10" spans="1:7">
      <c r="A10" s="1373" t="s">
        <v>4261</v>
      </c>
      <c r="B10" s="1375">
        <f>+B9-B4</f>
        <v>-14146461.003372772</v>
      </c>
    </row>
    <row r="11" spans="1:7">
      <c r="A11" s="1373" t="s">
        <v>4262</v>
      </c>
      <c r="B11" s="1376">
        <f>+B10/B4</f>
        <v>-0.87838676440907049</v>
      </c>
    </row>
    <row r="12" spans="1:7" ht="24" customHeight="1"/>
    <row r="13" spans="1:7">
      <c r="A13" s="1372" t="s">
        <v>4264</v>
      </c>
      <c r="D13" s="1445" t="s">
        <v>4531</v>
      </c>
      <c r="E13" s="1446"/>
    </row>
    <row r="14" spans="1:7">
      <c r="A14" s="1373" t="s">
        <v>4265</v>
      </c>
      <c r="B14" s="1377">
        <f>+SUM('Part III-Sources of Funds'!L49:M50)</f>
        <v>12741816</v>
      </c>
      <c r="D14" s="1446"/>
      <c r="E14" s="1446"/>
    </row>
    <row r="15" spans="1:7">
      <c r="A15" s="1373" t="s">
        <v>4266</v>
      </c>
      <c r="B15" s="1378">
        <f>+'Part IV-A-Uses of Funds'!J167</f>
        <v>1310504.8</v>
      </c>
      <c r="D15" s="1446" t="s">
        <v>2062</v>
      </c>
      <c r="G15" s="1447">
        <f>'Part IV-A-Uses of Funds'!J155</f>
        <v>10259137.046775835</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4879245.5794465877</v>
      </c>
    </row>
    <row r="20" spans="1:7">
      <c r="A20" s="1373" t="s">
        <v>4269</v>
      </c>
      <c r="B20" s="1377">
        <f>+B18-B14</f>
        <v>-12741816</v>
      </c>
      <c r="D20" s="1446" t="s">
        <v>4536</v>
      </c>
      <c r="G20" s="1449">
        <f>+B14-G19</f>
        <v>7862570.4205534123</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3000000</v>
      </c>
    </row>
    <row r="25" spans="1:7">
      <c r="A25" s="1373" t="s">
        <v>4273</v>
      </c>
      <c r="B25" s="1381">
        <f>IF('Part III-Sources of Funds'!B11="Yes","N/A",MAX(B46:P46))</f>
        <v>-1799.5394798611233</v>
      </c>
    </row>
    <row r="26" spans="1:7">
      <c r="A26" s="1373" t="s">
        <v>4274</v>
      </c>
      <c r="B26" s="1371">
        <f>IFERROR(PV('Part III-Sources of Funds'!K37,'Part III-Sources of Funds'!L37,B25+B45),B24)</f>
        <v>1958586.9966272279</v>
      </c>
    </row>
    <row r="27" spans="1:7" ht="9" customHeight="1">
      <c r="B27" s="1371"/>
    </row>
    <row r="28" spans="1:7">
      <c r="A28" s="1373" t="s">
        <v>4275</v>
      </c>
      <c r="B28" s="1382">
        <f>+B26-B24</f>
        <v>-1041413.0033727721</v>
      </c>
      <c r="C28" s="1383"/>
    </row>
    <row r="29" spans="1:7">
      <c r="A29" s="1373" t="s">
        <v>4270</v>
      </c>
      <c r="B29" s="1384">
        <f>+B28/B24</f>
        <v>-0.34713766779092403</v>
      </c>
    </row>
    <row r="30" spans="1:7" ht="24" customHeight="1"/>
    <row r="31" spans="1:7">
      <c r="A31" s="1372" t="s">
        <v>4131</v>
      </c>
    </row>
    <row r="32" spans="1:7">
      <c r="A32" s="1373" t="s">
        <v>4276</v>
      </c>
      <c r="B32" s="1385">
        <f>+'Part III-Sources of Funds'!I42</f>
        <v>364044</v>
      </c>
    </row>
    <row r="33" spans="1:11">
      <c r="A33" s="1373" t="s">
        <v>4277</v>
      </c>
      <c r="B33" s="1371"/>
    </row>
    <row r="34" spans="1:11" ht="9" customHeight="1">
      <c r="B34" s="1371"/>
    </row>
    <row r="35" spans="1:11">
      <c r="A35" s="1373" t="s">
        <v>4278</v>
      </c>
      <c r="B35" s="1385">
        <f>+B33-B32</f>
        <v>-364044</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234150.47999999998</v>
      </c>
      <c r="C44" s="1374">
        <f>+'Part VII-Pro Forma'!C22</f>
        <v>235581.38959999994</v>
      </c>
      <c r="D44" s="1374">
        <f>+'Part VII-Pro Forma'!D22</f>
        <v>236943.82159200005</v>
      </c>
      <c r="E44" s="1374">
        <f>+'Part VII-Pro Forma'!E22</f>
        <v>238232.85974984005</v>
      </c>
      <c r="F44" s="1374">
        <f>+'Part VII-Pro Forma'!F22</f>
        <v>239444.42172261685</v>
      </c>
      <c r="G44" s="1374">
        <f>+'Part VII-Pro Forma'!G22</f>
        <v>240573.25307818266</v>
      </c>
      <c r="H44" s="1374">
        <f>+'Part VII-Pro Forma'!H22</f>
        <v>241614.92114849301</v>
      </c>
      <c r="I44" s="1374">
        <f>+'Part VII-Pro Forma'!I22</f>
        <v>242563.80867047198</v>
      </c>
      <c r="J44" s="1374">
        <f>+'Part VII-Pro Forma'!J22</f>
        <v>243416.10721586097</v>
      </c>
      <c r="K44" s="1374">
        <f>+'Part VII-Pro Forma'!K22</f>
        <v>244164.81040331707</v>
      </c>
    </row>
    <row r="45" spans="1:11">
      <c r="A45" s="1373" t="s">
        <v>4282</v>
      </c>
      <c r="B45" s="1374">
        <f>SUM('Part VII-Pro Forma'!B23:B26)</f>
        <v>-193325.86052013887</v>
      </c>
      <c r="C45" s="1374">
        <f>SUM('Part VII-Pro Forma'!C23:C26)</f>
        <v>-193325.86052013887</v>
      </c>
      <c r="D45" s="1374">
        <f>SUM('Part VII-Pro Forma'!D23:D26)</f>
        <v>-193325.86052013887</v>
      </c>
      <c r="E45" s="1374">
        <f>SUM('Part VII-Pro Forma'!E23:E26)</f>
        <v>-193325.86052013887</v>
      </c>
      <c r="F45" s="1374">
        <f>SUM('Part VII-Pro Forma'!F23:F26)</f>
        <v>-193325.86052013887</v>
      </c>
      <c r="G45" s="1374">
        <f>SUM('Part VII-Pro Forma'!G23:G26)</f>
        <v>-193325.86052013887</v>
      </c>
      <c r="H45" s="1374">
        <f>SUM('Part VII-Pro Forma'!H23:H26)</f>
        <v>-193325.86052013887</v>
      </c>
      <c r="I45" s="1374">
        <f>SUM('Part VII-Pro Forma'!I23:I26)</f>
        <v>-193325.86052013887</v>
      </c>
      <c r="J45" s="1374">
        <f>SUM('Part VII-Pro Forma'!J23:J26)</f>
        <v>-193325.86052013887</v>
      </c>
      <c r="K45" s="1374">
        <f>SUM('Part VII-Pro Forma'!K23:K26)</f>
        <v>-193325.86052013887</v>
      </c>
    </row>
    <row r="46" spans="1:11">
      <c r="A46" s="1373" t="s">
        <v>4283</v>
      </c>
      <c r="B46" s="1375">
        <f t="shared" ref="B46:K46" si="0">-B44/B48-B45</f>
        <v>-1799.5394798611233</v>
      </c>
      <c r="C46" s="1375">
        <f t="shared" si="0"/>
        <v>-2991.9641465277527</v>
      </c>
      <c r="D46" s="1375">
        <f t="shared" si="0"/>
        <v>-4127.3241398611863</v>
      </c>
      <c r="E46" s="1375">
        <f t="shared" si="0"/>
        <v>-5201.5226047278557</v>
      </c>
      <c r="F46" s="1375">
        <f t="shared" si="0"/>
        <v>-6211.1575820418366</v>
      </c>
      <c r="G46" s="1375">
        <f t="shared" si="0"/>
        <v>-7151.8503783466876</v>
      </c>
      <c r="H46" s="1375">
        <f t="shared" si="0"/>
        <v>-8019.9071036053065</v>
      </c>
      <c r="I46" s="1375">
        <f t="shared" si="0"/>
        <v>-8810.6467052544467</v>
      </c>
      <c r="J46" s="1375">
        <f t="shared" si="0"/>
        <v>-9520.8954930786276</v>
      </c>
      <c r="K46" s="1375">
        <f t="shared" si="0"/>
        <v>-10144.8148159587</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234150.47999999998</v>
      </c>
      <c r="C51" s="1375">
        <f t="shared" ref="C51:K51" si="2">+C44</f>
        <v>235581.38959999994</v>
      </c>
      <c r="D51" s="1375">
        <f t="shared" si="2"/>
        <v>236943.82159200005</v>
      </c>
      <c r="E51" s="1375">
        <f t="shared" si="2"/>
        <v>238232.85974984005</v>
      </c>
      <c r="F51" s="1375">
        <f t="shared" si="2"/>
        <v>239444.42172261685</v>
      </c>
      <c r="G51" s="1375">
        <f t="shared" si="2"/>
        <v>240573.25307818266</v>
      </c>
      <c r="H51" s="1375">
        <f t="shared" si="2"/>
        <v>241614.92114849301</v>
      </c>
      <c r="I51" s="1375">
        <f t="shared" si="2"/>
        <v>242563.80867047198</v>
      </c>
      <c r="J51" s="1375">
        <f t="shared" si="2"/>
        <v>243416.10721586097</v>
      </c>
      <c r="K51" s="1375">
        <f t="shared" si="2"/>
        <v>244164.81040331707</v>
      </c>
    </row>
    <row r="52" spans="1:17">
      <c r="A52" s="1373" t="s">
        <v>4285</v>
      </c>
      <c r="B52" s="1375">
        <f>IF($B$25="N/A",B45,B45+$B$25)</f>
        <v>-195125.4</v>
      </c>
      <c r="C52" s="1375">
        <f t="shared" ref="C52:K52" si="3">IF($B$25="N/A",C45,C45+$B$25)</f>
        <v>-195125.4</v>
      </c>
      <c r="D52" s="1375">
        <f t="shared" si="3"/>
        <v>-195125.4</v>
      </c>
      <c r="E52" s="1375">
        <f t="shared" si="3"/>
        <v>-195125.4</v>
      </c>
      <c r="F52" s="1375">
        <f t="shared" si="3"/>
        <v>-195125.4</v>
      </c>
      <c r="G52" s="1375">
        <f t="shared" si="3"/>
        <v>-195125.4</v>
      </c>
      <c r="H52" s="1375">
        <f t="shared" si="3"/>
        <v>-195125.4</v>
      </c>
      <c r="I52" s="1375">
        <f t="shared" si="3"/>
        <v>-195125.4</v>
      </c>
      <c r="J52" s="1375">
        <f t="shared" si="3"/>
        <v>-195125.4</v>
      </c>
      <c r="K52" s="1375">
        <f t="shared" si="3"/>
        <v>-195125.4</v>
      </c>
    </row>
    <row r="53" spans="1:17">
      <c r="A53" s="1373" t="s">
        <v>4286</v>
      </c>
      <c r="B53" s="1374">
        <f>+'Part VII-Pro Forma'!B28</f>
        <v>-4500</v>
      </c>
      <c r="C53" s="1374">
        <f>+'Part VII-Pro Forma'!C28</f>
        <v>-4635</v>
      </c>
      <c r="D53" s="1374">
        <f>+'Part VII-Pro Forma'!D28</f>
        <v>-4774.05</v>
      </c>
      <c r="E53" s="1374">
        <f>+'Part VII-Pro Forma'!E28</f>
        <v>-4917.2714999999998</v>
      </c>
      <c r="F53" s="1374">
        <f>+'Part VII-Pro Forma'!F28</f>
        <v>-5064.7896449999998</v>
      </c>
      <c r="G53" s="1374">
        <f>+'Part VII-Pro Forma'!G28</f>
        <v>-5216.7333343499995</v>
      </c>
      <c r="H53" s="1374">
        <f>+'Part VII-Pro Forma'!H28</f>
        <v>-5373.2353343804998</v>
      </c>
      <c r="I53" s="1374">
        <f>+'Part VII-Pro Forma'!I28</f>
        <v>-5534.4323944119151</v>
      </c>
      <c r="J53" s="1374">
        <f>+'Part VII-Pro Forma'!J28</f>
        <v>-5700.4653662442724</v>
      </c>
      <c r="K53" s="1374">
        <f>+'Part VII-Pro Forma'!K28</f>
        <v>-5871.479327231601</v>
      </c>
    </row>
    <row r="54" spans="1:17">
      <c r="A54" s="1373" t="s">
        <v>4287</v>
      </c>
      <c r="B54" s="1375">
        <f>+SUM(B51:B53)</f>
        <v>34525.079999999987</v>
      </c>
      <c r="C54" s="1375">
        <f t="shared" ref="C54:K54" si="4">+SUM(C51:C53)</f>
        <v>35820.989599999943</v>
      </c>
      <c r="D54" s="1375">
        <f t="shared" si="4"/>
        <v>37044.371592000054</v>
      </c>
      <c r="E54" s="1375">
        <f t="shared" si="4"/>
        <v>38190.188249840052</v>
      </c>
      <c r="F54" s="1375">
        <f t="shared" si="4"/>
        <v>39254.232077616864</v>
      </c>
      <c r="G54" s="1375">
        <f t="shared" si="4"/>
        <v>40231.119743832671</v>
      </c>
      <c r="H54" s="1375">
        <f t="shared" si="4"/>
        <v>41116.285814112518</v>
      </c>
      <c r="I54" s="1375">
        <f t="shared" si="4"/>
        <v>41903.976276060064</v>
      </c>
      <c r="J54" s="1375">
        <f t="shared" si="4"/>
        <v>42590.241849616708</v>
      </c>
      <c r="K54" s="1375">
        <f t="shared" si="4"/>
        <v>43167.931076085471</v>
      </c>
    </row>
    <row r="55" spans="1:17">
      <c r="A55" s="1373" t="s">
        <v>4131</v>
      </c>
      <c r="B55" s="1375">
        <f>-B54</f>
        <v>-34525.079999999987</v>
      </c>
      <c r="C55" s="1375">
        <f t="shared" ref="C55:K55" si="5">-C54</f>
        <v>-35820.989599999943</v>
      </c>
      <c r="D55" s="1375">
        <f t="shared" si="5"/>
        <v>-37044.371592000054</v>
      </c>
      <c r="E55" s="1375">
        <f t="shared" si="5"/>
        <v>-38190.188249840052</v>
      </c>
      <c r="F55" s="1375">
        <f t="shared" si="5"/>
        <v>-39254.232077616864</v>
      </c>
      <c r="G55" s="1375">
        <f t="shared" si="5"/>
        <v>-40231.119743832671</v>
      </c>
      <c r="H55" s="1375">
        <f t="shared" si="5"/>
        <v>-41116.285814112518</v>
      </c>
      <c r="I55" s="1375">
        <f t="shared" si="5"/>
        <v>-41903.976276060064</v>
      </c>
      <c r="J55" s="1375">
        <f t="shared" si="5"/>
        <v>-42590.241849616708</v>
      </c>
      <c r="K55" s="1375">
        <f t="shared" si="5"/>
        <v>-43167.931076085471</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1868946.5835609608</v>
      </c>
      <c r="C58" s="1374">
        <f>IF($B$26="","",-FV('Part III-Sources of Funds'!$K$37/12,12,C52/12,B58))</f>
        <v>1774249.74658955</v>
      </c>
      <c r="D58" s="1374">
        <f>IF($B$26="","",-FV('Part III-Sources of Funds'!$K$37/12,12,D52/12,C58))</f>
        <v>1674211.2636593042</v>
      </c>
      <c r="E58" s="1374">
        <f>IF($B$26="","",-FV('Part III-Sources of Funds'!$K$37/12,12,E52/12,D58))</f>
        <v>1568529.8239507482</v>
      </c>
      <c r="F58" s="1374">
        <f>IF($B$26="","",-FV('Part III-Sources of Funds'!$K$37/12,12,F52/12,E58))</f>
        <v>1456887.1203457697</v>
      </c>
      <c r="G58" s="1374">
        <f>IF($B$26="","",-FV('Part III-Sources of Funds'!$K$37/12,12,G52/12,F58))</f>
        <v>1338946.8907027778</v>
      </c>
      <c r="H58" s="1374">
        <f>IF($B$26="","",-FV('Part III-Sources of Funds'!$K$37/12,12,H52/12,G58))</f>
        <v>1214353.9050522461</v>
      </c>
      <c r="I58" s="1374">
        <f>IF($B$26="","",-FV('Part III-Sources of Funds'!$K$37/12,12,I52/12,H58))</f>
        <v>1082732.8956621222</v>
      </c>
      <c r="J58" s="1374">
        <f>IF($B$26="","",-FV('Part III-Sources of Funds'!$K$37/12,12,J52/12,I58))</f>
        <v>943687.42675051675</v>
      </c>
      <c r="K58" s="1374">
        <f>IF($B$26="","",-FV('Part III-Sources of Funds'!$K$37/12,12,K52/12,J58))</f>
        <v>796798.70044130425</v>
      </c>
    </row>
    <row r="59" spans="1:17">
      <c r="A59" s="1373" t="s">
        <v>4132</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244805.70688581644</v>
      </c>
      <c r="C64" s="1374">
        <f>+'Part VII-Pro Forma'!C52</f>
        <v>245331.37310619868</v>
      </c>
      <c r="D64" s="1374">
        <f>+'Part VII-Pro Forma'!D52</f>
        <v>245736.16581346883</v>
      </c>
      <c r="E64" s="1374">
        <f>+'Part VII-Pro Forma'!E52</f>
        <v>246015.21433223854</v>
      </c>
      <c r="F64" s="1374">
        <f>+'Part VII-Pro Forma'!F52</f>
        <v>246159.4125774588</v>
      </c>
      <c r="G64" s="1374">
        <f>+'Part VII-Pro Forma'!G52</f>
        <v>246164.41080634034</v>
      </c>
      <c r="H64" s="1374">
        <f>+'Part VII-Pro Forma'!H52</f>
        <v>246021.60709911992</v>
      </c>
      <c r="I64" s="1374">
        <f>+'Part VII-Pro Forma'!I52</f>
        <v>245723.13856005471</v>
      </c>
      <c r="J64" s="1374">
        <f>+'Part VII-Pro Forma'!J52</f>
        <v>245262.8722297764</v>
      </c>
      <c r="K64" s="1374">
        <f>+'Part VII-Pro Forma'!K52</f>
        <v>244632.39569984845</v>
      </c>
    </row>
    <row r="65" spans="1:11">
      <c r="A65" s="1373" t="s">
        <v>4282</v>
      </c>
      <c r="B65" s="1374">
        <f>SUM('Part VII-Pro Forma'!B53:B56)</f>
        <v>-193325.86052013887</v>
      </c>
      <c r="C65" s="1374">
        <f>SUM('Part VII-Pro Forma'!C53:C56)</f>
        <v>-193325.86052013887</v>
      </c>
      <c r="D65" s="1374">
        <f>SUM('Part VII-Pro Forma'!D53:D56)</f>
        <v>-193325.86052013887</v>
      </c>
      <c r="E65" s="1374">
        <f>SUM('Part VII-Pro Forma'!E53:E56)</f>
        <v>-193325.86052013887</v>
      </c>
      <c r="F65" s="1374">
        <f>SUM('Part VII-Pro Forma'!F53:F56)</f>
        <v>-193325.86052013887</v>
      </c>
      <c r="G65" s="1374">
        <f>SUM('Part VII-Pro Forma'!G53:G56)</f>
        <v>-193325.86052013887</v>
      </c>
      <c r="H65" s="1374">
        <f>SUM('Part VII-Pro Forma'!H53:H56)</f>
        <v>-193325.86052013887</v>
      </c>
      <c r="I65" s="1374">
        <f>SUM('Part VII-Pro Forma'!I53:I56)</f>
        <v>-193325.86052013887</v>
      </c>
      <c r="J65" s="1374">
        <f>SUM('Part VII-Pro Forma'!J53:J56)</f>
        <v>-193325.86052013887</v>
      </c>
      <c r="K65" s="1374">
        <f>SUM('Part VII-Pro Forma'!K53:K56)</f>
        <v>-193325.86052013887</v>
      </c>
    </row>
    <row r="66" spans="1:11">
      <c r="A66" s="1373" t="s">
        <v>4283</v>
      </c>
      <c r="B66" s="1375">
        <f t="shared" ref="B66:K66" si="7">-B64/B68-B65</f>
        <v>-10678.895218041493</v>
      </c>
      <c r="C66" s="1375">
        <f t="shared" si="7"/>
        <v>-11116.950401693379</v>
      </c>
      <c r="D66" s="1375">
        <f t="shared" si="7"/>
        <v>-11454.277657751838</v>
      </c>
      <c r="E66" s="1375">
        <f t="shared" si="7"/>
        <v>-11686.818090059911</v>
      </c>
      <c r="F66" s="1375">
        <f t="shared" si="7"/>
        <v>-11806.983294410136</v>
      </c>
      <c r="G66" s="1375">
        <f t="shared" si="7"/>
        <v>-11811.148485144746</v>
      </c>
      <c r="H66" s="1375">
        <f t="shared" si="7"/>
        <v>-11692.145395794418</v>
      </c>
      <c r="I66" s="1375">
        <f t="shared" si="7"/>
        <v>-11443.421613240062</v>
      </c>
      <c r="J66" s="1375">
        <f t="shared" si="7"/>
        <v>-11059.866338008142</v>
      </c>
      <c r="K66" s="1375">
        <f t="shared" si="7"/>
        <v>-10534.469229734852</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244805.70688581644</v>
      </c>
      <c r="C71" s="1375">
        <f t="shared" si="9"/>
        <v>245331.37310619868</v>
      </c>
      <c r="D71" s="1375">
        <f t="shared" si="9"/>
        <v>245736.16581346883</v>
      </c>
      <c r="E71" s="1375">
        <f t="shared" si="9"/>
        <v>246015.21433223854</v>
      </c>
      <c r="F71" s="1375">
        <f t="shared" si="9"/>
        <v>246159.4125774588</v>
      </c>
      <c r="G71" s="1375">
        <f t="shared" si="9"/>
        <v>246164.41080634034</v>
      </c>
      <c r="H71" s="1375">
        <f t="shared" ref="H71:K71" si="10">+H64</f>
        <v>246021.60709911992</v>
      </c>
      <c r="I71" s="1375">
        <f t="shared" si="10"/>
        <v>245723.13856005471</v>
      </c>
      <c r="J71" s="1375">
        <f t="shared" si="10"/>
        <v>245262.8722297764</v>
      </c>
      <c r="K71" s="1375">
        <f t="shared" si="10"/>
        <v>244632.39569984845</v>
      </c>
    </row>
    <row r="72" spans="1:11">
      <c r="A72" s="1373" t="s">
        <v>4285</v>
      </c>
      <c r="B72" s="1375">
        <f t="shared" ref="B72:G72" si="11">IF($B$25="N/A",B65,B65+$B$25)</f>
        <v>-195125.4</v>
      </c>
      <c r="C72" s="1375">
        <f t="shared" si="11"/>
        <v>-195125.4</v>
      </c>
      <c r="D72" s="1375">
        <f t="shared" si="11"/>
        <v>-195125.4</v>
      </c>
      <c r="E72" s="1375">
        <f t="shared" si="11"/>
        <v>-195125.4</v>
      </c>
      <c r="F72" s="1375">
        <f t="shared" si="11"/>
        <v>-195125.4</v>
      </c>
      <c r="G72" s="1375">
        <f t="shared" si="11"/>
        <v>-195125.4</v>
      </c>
      <c r="H72" s="1375">
        <f t="shared" ref="H72:K72" si="12">IF($B$25="N/A",H65,H65+$B$25)</f>
        <v>-195125.4</v>
      </c>
      <c r="I72" s="1375">
        <f t="shared" si="12"/>
        <v>-195125.4</v>
      </c>
      <c r="J72" s="1375">
        <f t="shared" si="12"/>
        <v>-195125.4</v>
      </c>
      <c r="K72" s="1375">
        <f t="shared" si="12"/>
        <v>-195125.4</v>
      </c>
    </row>
    <row r="73" spans="1:11">
      <c r="A73" s="1373" t="s">
        <v>4286</v>
      </c>
      <c r="B73" s="1374">
        <f>+'Part VII-Pro Forma'!B58</f>
        <v>-6047.6237070485495</v>
      </c>
      <c r="C73" s="1374">
        <f>+'Part VII-Pro Forma'!C58</f>
        <v>-6229.0524182600057</v>
      </c>
      <c r="D73" s="1374">
        <f>+'Part VII-Pro Forma'!D58</f>
        <v>-6415.9239908078061</v>
      </c>
      <c r="E73" s="1374">
        <f>+'Part VII-Pro Forma'!E58</f>
        <v>-6608.4017105320399</v>
      </c>
      <c r="F73" s="1374">
        <f>+'Part VII-Pro Forma'!F58</f>
        <v>-6806.6537618480015</v>
      </c>
      <c r="G73" s="1374">
        <f>+'Part VII-Pro Forma'!G58</f>
        <v>0</v>
      </c>
      <c r="H73" s="1374">
        <f>+'Part VII-Pro Forma'!H58</f>
        <v>0</v>
      </c>
      <c r="I73" s="1374">
        <f>+'Part VII-Pro Forma'!I58</f>
        <v>0</v>
      </c>
      <c r="J73" s="1374">
        <f>+'Part VII-Pro Forma'!J58</f>
        <v>0</v>
      </c>
      <c r="K73" s="1374">
        <f>+'Part VII-Pro Forma'!K58</f>
        <v>0</v>
      </c>
    </row>
    <row r="74" spans="1:11">
      <c r="A74" s="1373" t="s">
        <v>4287</v>
      </c>
      <c r="B74" s="1375">
        <f t="shared" ref="B74:G74" si="13">+SUM(B71:B73)</f>
        <v>43632.683178767897</v>
      </c>
      <c r="C74" s="1375">
        <f t="shared" si="13"/>
        <v>43976.920687938677</v>
      </c>
      <c r="D74" s="1375">
        <f t="shared" si="13"/>
        <v>44194.84182266103</v>
      </c>
      <c r="E74" s="1375">
        <f t="shared" si="13"/>
        <v>44281.412621706506</v>
      </c>
      <c r="F74" s="1375">
        <f t="shared" si="13"/>
        <v>44227.358815610809</v>
      </c>
      <c r="G74" s="1375">
        <f t="shared" si="13"/>
        <v>51039.010806340346</v>
      </c>
      <c r="H74" s="1375">
        <f t="shared" ref="H74:K74" si="14">+SUM(H71:H73)</f>
        <v>50896.207099119929</v>
      </c>
      <c r="I74" s="1375">
        <f t="shared" si="14"/>
        <v>50597.738560054713</v>
      </c>
      <c r="J74" s="1375">
        <f t="shared" si="14"/>
        <v>50137.472229776409</v>
      </c>
      <c r="K74" s="1375">
        <f t="shared" si="14"/>
        <v>49506.995699848456</v>
      </c>
    </row>
    <row r="75" spans="1:11">
      <c r="A75" s="1373" t="s">
        <v>4131</v>
      </c>
      <c r="B75" s="1375">
        <f t="shared" ref="B75:G75" si="15">-B74</f>
        <v>-43632.683178767897</v>
      </c>
      <c r="C75" s="1375">
        <f t="shared" si="15"/>
        <v>-43976.920687938677</v>
      </c>
      <c r="D75" s="1375">
        <f t="shared" si="15"/>
        <v>-44194.84182266103</v>
      </c>
      <c r="E75" s="1375">
        <f t="shared" si="15"/>
        <v>-44281.412621706506</v>
      </c>
      <c r="F75" s="1375">
        <f t="shared" si="15"/>
        <v>-44227.358815610809</v>
      </c>
      <c r="G75" s="1375">
        <f t="shared" si="15"/>
        <v>-51039.010806340346</v>
      </c>
      <c r="H75" s="1375">
        <f t="shared" ref="H75:K75" si="16">-H74</f>
        <v>-50896.207099119929</v>
      </c>
      <c r="I75" s="1375">
        <f t="shared" si="16"/>
        <v>-50597.738560054713</v>
      </c>
      <c r="J75" s="1375">
        <f t="shared" si="16"/>
        <v>-50137.472229776409</v>
      </c>
      <c r="K75" s="1375">
        <f t="shared" si="16"/>
        <v>-49506.995699848456</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641624.29536623263</v>
      </c>
      <c r="C78" s="1374">
        <f>IF($B$26="","",-FV('Part III-Sources of Funds'!$K$37/12,12,C72/12,B78))</f>
        <v>477696.83411427785</v>
      </c>
      <c r="D78" s="1374">
        <f>IF($B$26="","",-FV('Part III-Sources of Funds'!$K$37/12,12,D72/12,C78))</f>
        <v>304522.57551466755</v>
      </c>
      <c r="E78" s="1374">
        <f>IF($B$26="","",-FV('Part III-Sources of Funds'!$K$37/12,12,E72/12,D78))</f>
        <v>121579.92751360187</v>
      </c>
      <c r="F78" s="1374">
        <f>IF($B$26="","",-FV('Part III-Sources of Funds'!$K$37/12,12,F72/12,E78))</f>
        <v>-71682.12383446809</v>
      </c>
      <c r="G78" s="1374">
        <f>IF($B$26="","",-FV('Part III-Sources of Funds'!$K$37/12,12,G72/12,F78))</f>
        <v>-275845.67399280216</v>
      </c>
      <c r="H78" s="1374">
        <f>IF($B$26="","",-FV('Part III-Sources of Funds'!$K$37/12,12,H72/12,G78))</f>
        <v>-491525.65318428271</v>
      </c>
      <c r="I78" s="1374">
        <f>IF($B$26="","",-FV('Part III-Sources of Funds'!$K$37/12,12,I72/12,H78))</f>
        <v>-719371.67852995149</v>
      </c>
      <c r="J78" s="1374">
        <f>IF($B$26="","",-FV('Part III-Sources of Funds'!$K$37/12,12,J72/12,I78))</f>
        <v>-960070.01066271798</v>
      </c>
      <c r="K78" s="1374">
        <f>IF($B$26="","",-FV('Part III-Sources of Funds'!$K$37/12,12,K72/12,J78))</f>
        <v>-1214345.6207094607</v>
      </c>
    </row>
    <row r="79" spans="1:11">
      <c r="A79" s="1373" t="s">
        <v>4132</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5" t="s">
        <v>2936</v>
      </c>
      <c r="B1" s="3605"/>
      <c r="C1" s="3605"/>
      <c r="D1" s="3605"/>
      <c r="E1" s="3605"/>
      <c r="F1" s="3605"/>
      <c r="G1" s="3605"/>
      <c r="H1" s="3605"/>
      <c r="I1" s="3605"/>
      <c r="J1" s="3605"/>
    </row>
    <row r="2" spans="1:11" ht="15.75">
      <c r="A2" s="3605" t="str">
        <f>Overview!C8</f>
        <v>Grayling Place</v>
      </c>
      <c r="B2" s="3605"/>
      <c r="C2" s="3605"/>
      <c r="D2" s="3605"/>
      <c r="E2" s="3605"/>
      <c r="F2" s="3605"/>
      <c r="G2" s="3605"/>
      <c r="H2" s="3605"/>
      <c r="I2" s="3605"/>
      <c r="J2" s="3605"/>
    </row>
    <row r="3" spans="1:11" ht="15.75">
      <c r="A3" s="3605" t="str">
        <f>'Subsidy Layering Memo'!F14</f>
        <v>Columbus, Muscogee</v>
      </c>
      <c r="B3" s="3605"/>
      <c r="C3" s="3605"/>
      <c r="D3" s="3605"/>
      <c r="E3" s="3605"/>
      <c r="F3" s="3605"/>
      <c r="G3" s="3605"/>
      <c r="H3" s="3605"/>
      <c r="I3" s="3605"/>
      <c r="J3" s="3605"/>
    </row>
    <row r="4" spans="1:11" ht="15.75">
      <c r="A4" s="3606" t="s">
        <v>2937</v>
      </c>
      <c r="B4" s="3605"/>
      <c r="C4" s="3605"/>
      <c r="D4" s="3605"/>
      <c r="E4" s="3605"/>
      <c r="F4" s="3605"/>
      <c r="G4" s="3605"/>
      <c r="H4" s="3605"/>
      <c r="I4" s="3605"/>
      <c r="J4" s="3605"/>
    </row>
    <row r="5" spans="1:11" ht="5.25" customHeight="1"/>
    <row r="6" spans="1:11" ht="5.25" customHeight="1"/>
    <row r="7" spans="1:11" ht="15.75">
      <c r="A7" s="3607" t="s">
        <v>2938</v>
      </c>
      <c r="B7" s="3607"/>
      <c r="C7" s="3608"/>
    </row>
    <row r="8" spans="1:11" ht="102.75" customHeight="1">
      <c r="A8" s="3601" t="s">
        <v>4292</v>
      </c>
      <c r="B8" s="3601"/>
      <c r="C8" s="3601"/>
      <c r="D8" s="3601"/>
      <c r="E8" s="3601"/>
      <c r="F8" s="3601"/>
      <c r="G8" s="3601"/>
      <c r="H8" s="3601"/>
      <c r="I8" s="3601"/>
      <c r="J8" s="3601"/>
      <c r="K8" s="687"/>
    </row>
    <row r="9" spans="1:11" ht="15.75">
      <c r="A9" s="688" t="s">
        <v>2939</v>
      </c>
    </row>
    <row r="10" spans="1:11" ht="21.75" customHeight="1">
      <c r="A10" s="3601" t="str">
        <f>'Subsidy Layering Memo'!A44</f>
        <v xml:space="preserve">Ownership entity:  (NAME) LP, a Georgia Limited Partnership, will be the ownership entity for the proposed project. </v>
      </c>
      <c r="B10" s="3602"/>
      <c r="C10" s="3602"/>
      <c r="D10" s="3602"/>
      <c r="E10" s="3602"/>
      <c r="F10" s="3602"/>
      <c r="G10" s="3602"/>
      <c r="H10" s="3602"/>
      <c r="I10" s="3602"/>
      <c r="J10" s="3601"/>
    </row>
    <row r="11" spans="1:11" ht="63.75" customHeight="1">
      <c r="A11" s="3601" t="s">
        <v>2969</v>
      </c>
      <c r="B11" s="3601"/>
      <c r="C11" s="3601"/>
      <c r="D11" s="3601"/>
      <c r="E11" s="3601"/>
      <c r="F11" s="3601"/>
      <c r="G11" s="3601"/>
      <c r="H11" s="3601"/>
      <c r="I11" s="3601"/>
      <c r="J11" s="3601"/>
    </row>
    <row r="12" spans="1:11" ht="48.75" customHeight="1">
      <c r="A12" s="3601" t="s">
        <v>2970</v>
      </c>
      <c r="B12" s="3601"/>
      <c r="C12" s="3601"/>
      <c r="D12" s="3601"/>
      <c r="E12" s="3601"/>
      <c r="F12" s="3601"/>
      <c r="G12" s="3601"/>
      <c r="H12" s="3601"/>
      <c r="I12" s="3601"/>
      <c r="J12" s="3601"/>
    </row>
    <row r="13" spans="1:11" ht="15.75">
      <c r="A13" s="688" t="s">
        <v>2940</v>
      </c>
      <c r="B13" s="689"/>
    </row>
    <row r="14" spans="1:11">
      <c r="A14" s="686" t="s">
        <v>2941</v>
      </c>
      <c r="E14" s="690" t="s">
        <v>2942</v>
      </c>
    </row>
    <row r="15" spans="1:11">
      <c r="A15" s="686" t="s">
        <v>2943</v>
      </c>
      <c r="D15" s="691">
        <f>Overview!C25</f>
        <v>3000000</v>
      </c>
    </row>
    <row r="16" spans="1:11">
      <c r="A16" s="692" t="s">
        <v>2944</v>
      </c>
      <c r="D16" s="693">
        <f>Overview!C13</f>
        <v>84</v>
      </c>
    </row>
    <row r="17" spans="1:11" ht="14.25" customHeight="1"/>
    <row r="18" spans="1:11" ht="15.75">
      <c r="A18" s="688" t="s">
        <v>2945</v>
      </c>
      <c r="B18" s="689"/>
      <c r="C18" s="689"/>
    </row>
    <row r="19" spans="1:11" ht="48.75" customHeight="1">
      <c r="A19" s="3603" t="s">
        <v>2972</v>
      </c>
      <c r="B19" s="3603"/>
      <c r="C19" s="3603"/>
      <c r="D19" s="3603"/>
      <c r="E19" s="3603"/>
      <c r="F19" s="3603"/>
      <c r="G19" s="3603"/>
      <c r="H19" s="3603"/>
      <c r="I19" s="3603"/>
      <c r="J19" s="3603"/>
    </row>
    <row r="20" spans="1:11" ht="72.75" customHeight="1">
      <c r="A20" s="3601" t="s">
        <v>3413</v>
      </c>
      <c r="B20" s="3601"/>
      <c r="C20" s="3601"/>
      <c r="D20" s="3601"/>
      <c r="E20" s="3601"/>
      <c r="F20" s="3601"/>
      <c r="G20" s="3601"/>
      <c r="H20" s="3601"/>
      <c r="I20" s="3601"/>
      <c r="J20" s="3601"/>
    </row>
    <row r="21" spans="1:11" ht="15.75">
      <c r="A21" s="688" t="s">
        <v>2946</v>
      </c>
      <c r="B21" s="689"/>
      <c r="C21" s="689"/>
      <c r="D21" s="689"/>
      <c r="E21" s="689"/>
      <c r="F21" s="689"/>
    </row>
    <row r="22" spans="1:11" ht="102.75" customHeight="1">
      <c r="A22" s="3604" t="s">
        <v>2965</v>
      </c>
      <c r="B22" s="3604"/>
      <c r="C22" s="3604"/>
      <c r="D22" s="3604"/>
      <c r="E22" s="3604"/>
      <c r="F22" s="3604"/>
      <c r="G22" s="3604"/>
      <c r="H22" s="3604"/>
      <c r="I22" s="3604"/>
      <c r="J22" s="3604"/>
      <c r="K22" s="1456"/>
    </row>
    <row r="23" spans="1:11" ht="15" customHeight="1">
      <c r="A23" s="3600"/>
      <c r="B23" s="3600"/>
      <c r="C23" s="3600"/>
      <c r="D23" s="3600"/>
      <c r="E23" s="3600"/>
      <c r="F23" s="3600"/>
      <c r="G23" s="3600"/>
      <c r="H23" s="3600"/>
      <c r="I23" s="3600"/>
      <c r="J23" s="3600"/>
      <c r="K23" s="686" t="s">
        <v>245</v>
      </c>
    </row>
    <row r="24" spans="1:11" ht="15" customHeight="1">
      <c r="B24" s="1455"/>
      <c r="C24" s="1455"/>
      <c r="D24" s="1455"/>
      <c r="E24" s="1455"/>
      <c r="F24" s="1455"/>
      <c r="G24" s="1455"/>
      <c r="H24" s="1455"/>
      <c r="I24" s="1455" t="s">
        <v>245</v>
      </c>
      <c r="J24" s="1455"/>
    </row>
    <row r="25" spans="1:11" ht="15.75">
      <c r="A25" s="689" t="s">
        <v>2947</v>
      </c>
    </row>
    <row r="27" spans="1:11" ht="15.75" thickBot="1">
      <c r="A27" s="694"/>
      <c r="B27" s="694"/>
      <c r="C27" s="694"/>
      <c r="D27" s="694"/>
      <c r="F27" s="694"/>
      <c r="G27" s="694"/>
      <c r="H27" s="694"/>
      <c r="I27" s="694"/>
    </row>
    <row r="28" spans="1:11">
      <c r="A28" s="686" t="s">
        <v>2948</v>
      </c>
      <c r="D28" s="686" t="s">
        <v>934</v>
      </c>
      <c r="F28" s="686" t="s">
        <v>2949</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3008</v>
      </c>
      <c r="B1" s="752"/>
      <c r="C1" s="752"/>
      <c r="D1" s="752"/>
      <c r="E1" s="752"/>
      <c r="F1" s="752"/>
      <c r="G1" s="752"/>
      <c r="H1" s="752"/>
      <c r="I1" s="752"/>
      <c r="J1" s="752"/>
      <c r="K1" s="752"/>
      <c r="L1" s="689"/>
      <c r="M1" s="689"/>
    </row>
    <row r="2" spans="1:14" s="254" customFormat="1" ht="18">
      <c r="A2" s="1386" t="str">
        <f>+"Financial Analysis for:  "&amp;E8&amp;"  "&amp;C8</f>
        <v>Financial Analysis for:  2018-021  Grayling Place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3009</v>
      </c>
      <c r="B7" s="686"/>
      <c r="C7" s="726"/>
      <c r="D7" s="727"/>
      <c r="E7" s="727"/>
      <c r="F7" s="689" t="s">
        <v>3339</v>
      </c>
      <c r="G7" s="686"/>
      <c r="H7" s="361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0"/>
      <c r="J7" s="3610"/>
      <c r="K7" s="3610"/>
      <c r="L7" s="686"/>
      <c r="M7" s="686"/>
    </row>
    <row r="8" spans="1:14" ht="15.75">
      <c r="A8" s="689" t="s">
        <v>3010</v>
      </c>
      <c r="B8" s="689"/>
      <c r="C8" s="3610" t="str">
        <f>'Part I-Project Information'!F34</f>
        <v>Grayling Place</v>
      </c>
      <c r="D8" s="3610"/>
      <c r="E8" s="1458" t="str">
        <f>'Part I-Project Information'!O6</f>
        <v>2018-021</v>
      </c>
      <c r="F8" s="728" t="s">
        <v>3011</v>
      </c>
      <c r="G8" s="727"/>
      <c r="H8" s="3610" t="str">
        <f>CONCATENATE('Part I-Project Information'!F38,", ",'Part I-Project Information'!J39)</f>
        <v>Columbus, Muscogee</v>
      </c>
      <c r="I8" s="3610"/>
      <c r="J8" s="3610"/>
      <c r="K8" s="3610"/>
      <c r="L8" s="686"/>
      <c r="M8" s="729"/>
    </row>
    <row r="9" spans="1:14" ht="15.75">
      <c r="A9" s="689" t="s">
        <v>3013</v>
      </c>
      <c r="B9" s="689"/>
      <c r="C9" s="3610" t="s">
        <v>1784</v>
      </c>
      <c r="D9" s="3610"/>
      <c r="E9" s="727"/>
      <c r="F9" s="728" t="s">
        <v>3014</v>
      </c>
      <c r="G9" s="727"/>
      <c r="H9" s="3610" t="str">
        <f>'Part II-Development Team'!H5</f>
        <v>Grayling Place, LP</v>
      </c>
      <c r="I9" s="3610"/>
      <c r="J9" s="3610"/>
      <c r="K9" s="3610"/>
      <c r="L9" s="3610"/>
      <c r="M9" s="729"/>
    </row>
    <row r="10" spans="1:14" ht="15.75">
      <c r="A10" s="689" t="s">
        <v>3016</v>
      </c>
      <c r="B10" s="686"/>
      <c r="C10" s="1458" t="str">
        <f>'Part II-Development Team'!H14</f>
        <v>TBG Grayling Place, LLC</v>
      </c>
      <c r="D10" s="727"/>
      <c r="E10" s="727"/>
      <c r="F10" s="728" t="s">
        <v>3585</v>
      </c>
      <c r="G10" s="727"/>
      <c r="H10" s="3610" t="str">
        <f>'Part II-Development Team'!H33</f>
        <v>Regions Bank</v>
      </c>
      <c r="I10" s="3610"/>
      <c r="J10" s="3610"/>
      <c r="K10" s="3610" t="str">
        <f>'Part II-Development Team'!H39</f>
        <v>TBG Grayling Place  Investments, LLC</v>
      </c>
      <c r="L10" s="3610"/>
    </row>
    <row r="11" spans="1:14" ht="15.75">
      <c r="A11" s="689" t="s">
        <v>3017</v>
      </c>
      <c r="B11" s="686"/>
      <c r="C11" s="1458" t="str">
        <f>IF('Part II-Development Team'!H20="","",'Part II-Development Team'!H20)</f>
        <v/>
      </c>
      <c r="D11" s="727"/>
      <c r="E11" s="1388" t="str">
        <f>IF('Part II-Development Team'!H26="","",'Part II-Development Team'!H26)</f>
        <v/>
      </c>
      <c r="F11" s="728" t="s">
        <v>658</v>
      </c>
      <c r="G11" s="727"/>
      <c r="H11" s="3610" t="str">
        <f>'Part II-Development Team'!H54</f>
        <v>MHL, Inc. DBA TBG Residential</v>
      </c>
      <c r="I11" s="3610"/>
      <c r="J11" s="3610"/>
      <c r="K11" s="3610">
        <f>'Part II-Development Team'!H60</f>
        <v>0</v>
      </c>
      <c r="L11" s="3610"/>
      <c r="M11" s="3610">
        <f>'Part II-Development Team'!H66</f>
        <v>0</v>
      </c>
      <c r="N11" s="3610"/>
    </row>
    <row r="12" spans="1:14" ht="15.75">
      <c r="A12" s="689" t="s">
        <v>3018</v>
      </c>
      <c r="B12" s="686"/>
      <c r="C12" s="1458" t="str">
        <f>'Part II-Development Team'!H86</f>
        <v>Hunter's Walk Home Center, Inc. DBA TBG Construction</v>
      </c>
      <c r="D12" s="727"/>
      <c r="E12" s="727"/>
      <c r="F12" s="728" t="s">
        <v>3019</v>
      </c>
      <c r="G12" s="727"/>
      <c r="H12" s="3610" t="str">
        <f>'Part II-Development Team'!H92</f>
        <v>Buckner Finance Company DBA TBG Residential</v>
      </c>
      <c r="I12" s="3610"/>
      <c r="J12" s="3610"/>
      <c r="K12" s="3610"/>
      <c r="L12" s="686"/>
      <c r="M12" s="686"/>
    </row>
    <row r="13" spans="1:14" ht="15.75">
      <c r="A13" s="689" t="s">
        <v>3020</v>
      </c>
      <c r="B13" s="728"/>
      <c r="C13" s="685">
        <f>'Part VI-Revenues &amp; Expenses'!$O$62</f>
        <v>84</v>
      </c>
      <c r="E13" s="1389">
        <f>'Part VI-Revenues &amp; Expenses'!$O$58</f>
        <v>67</v>
      </c>
      <c r="F13" s="728" t="s">
        <v>4302</v>
      </c>
      <c r="G13" s="727"/>
      <c r="H13" s="1459">
        <f>'Part I-Project Information'!H72</f>
        <v>5</v>
      </c>
      <c r="I13" s="1390"/>
      <c r="J13" s="1390"/>
      <c r="K13" s="1459">
        <f>'Part I-Project Information'!P71</f>
        <v>94910</v>
      </c>
      <c r="L13" s="686"/>
      <c r="M13" s="686"/>
    </row>
    <row r="14" spans="1:14" ht="15.75">
      <c r="A14" s="689" t="s">
        <v>3328</v>
      </c>
      <c r="B14" s="686"/>
      <c r="C14" s="1459" t="str">
        <f>'Part I-Project Information'!H78</f>
        <v>Family</v>
      </c>
      <c r="D14" s="3610" t="str">
        <f>IF('Part I-Project Information'!N70=0,"",'Part I-Project Information'!N70)</f>
        <v/>
      </c>
      <c r="E14" s="3610"/>
      <c r="F14" s="728" t="s">
        <v>3021</v>
      </c>
      <c r="G14" s="727"/>
      <c r="H14" s="3615" t="s">
        <v>3524</v>
      </c>
      <c r="I14" s="3615"/>
      <c r="J14" s="3615"/>
      <c r="K14" s="3615" t="s">
        <v>3524</v>
      </c>
      <c r="L14" s="3615"/>
      <c r="M14" s="686"/>
    </row>
    <row r="15" spans="1:14" ht="15.75">
      <c r="A15" s="689" t="s">
        <v>3022</v>
      </c>
      <c r="B15" s="686"/>
      <c r="C15" s="730" t="s">
        <v>1784</v>
      </c>
      <c r="D15" s="727"/>
      <c r="E15" s="727"/>
      <c r="F15" s="728" t="s">
        <v>3329</v>
      </c>
      <c r="G15" s="727"/>
      <c r="H15" s="1458" t="str">
        <f>'Part I-Project Information'!K40</f>
        <v>Urban</v>
      </c>
      <c r="I15" s="727"/>
      <c r="J15" s="727"/>
      <c r="K15" s="727"/>
      <c r="L15" s="686"/>
      <c r="M15" s="686"/>
    </row>
    <row r="16" spans="1:14" ht="15.75">
      <c r="A16" s="689" t="s">
        <v>3558</v>
      </c>
      <c r="B16" s="686"/>
      <c r="C16" s="1458" t="str">
        <f>'Part I-Project Information'!H96</f>
        <v>No</v>
      </c>
      <c r="D16" s="731" t="s">
        <v>2697</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3331</v>
      </c>
      <c r="B18" s="686"/>
      <c r="C18" s="1461">
        <f>'Part IV-A-Uses of Funds'!G132</f>
        <v>16105048</v>
      </c>
      <c r="D18" s="1437">
        <f>IF(C18=0,"",$C$29/C18)</f>
        <v>0.18627699836722</v>
      </c>
      <c r="E18" s="727" t="s">
        <v>3332</v>
      </c>
      <c r="F18" s="728" t="s">
        <v>3333</v>
      </c>
      <c r="G18" s="727"/>
      <c r="H18" s="3609">
        <f>'Part IV-A-Uses of Funds'!B44</f>
        <v>9457923</v>
      </c>
      <c r="I18" s="3609"/>
      <c r="J18" s="1436">
        <f>IF(H18=0,"",$C$29/H18)</f>
        <v>0.317194377666217</v>
      </c>
      <c r="K18" s="3610" t="s">
        <v>3334</v>
      </c>
      <c r="L18" s="3610"/>
      <c r="M18" s="686"/>
    </row>
    <row r="19" spans="1:13" ht="15.75">
      <c r="A19" s="689" t="s">
        <v>3023</v>
      </c>
      <c r="B19" s="686"/>
      <c r="C19" s="1460">
        <f>C18/C13</f>
        <v>191726.76190476189</v>
      </c>
      <c r="D19" s="727"/>
      <c r="E19" s="686"/>
      <c r="F19" s="689" t="s">
        <v>3023</v>
      </c>
      <c r="G19" s="686"/>
      <c r="H19" s="3611">
        <f>H18/C13</f>
        <v>112594.32142857143</v>
      </c>
      <c r="I19" s="3611"/>
      <c r="J19" s="686"/>
      <c r="K19" s="686"/>
      <c r="L19" s="686"/>
      <c r="M19" s="686"/>
    </row>
    <row r="20" spans="1:13" ht="15.75">
      <c r="A20" s="689" t="s">
        <v>3024</v>
      </c>
      <c r="B20" s="686"/>
      <c r="C20" s="1462">
        <f>C18/K13</f>
        <v>169.6875777051944</v>
      </c>
      <c r="D20" s="732"/>
      <c r="E20" s="733"/>
      <c r="F20" s="689" t="s">
        <v>3024</v>
      </c>
      <c r="G20" s="686"/>
      <c r="H20" s="3612">
        <f>H18/K13</f>
        <v>99.651490886102621</v>
      </c>
      <c r="I20" s="361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3025</v>
      </c>
      <c r="B23" s="736"/>
      <c r="C23" s="736"/>
      <c r="D23" s="736"/>
      <c r="E23" s="727"/>
      <c r="F23" s="727"/>
      <c r="G23" s="727"/>
      <c r="H23" s="727"/>
      <c r="I23" s="727"/>
      <c r="J23" s="727"/>
      <c r="K23" s="727"/>
      <c r="L23" s="686"/>
      <c r="M23" s="729"/>
    </row>
    <row r="24" spans="1:13" ht="27" customHeight="1">
      <c r="A24" s="686"/>
      <c r="B24" s="686"/>
      <c r="C24" s="686"/>
      <c r="D24" s="737" t="s">
        <v>3026</v>
      </c>
      <c r="E24" s="686"/>
      <c r="F24" s="686"/>
      <c r="G24" s="686"/>
      <c r="H24" s="686"/>
      <c r="I24" s="686"/>
      <c r="J24" s="686"/>
      <c r="K24" s="686"/>
      <c r="L24" s="686"/>
      <c r="M24" s="729"/>
    </row>
    <row r="25" spans="1:13" ht="15.75">
      <c r="A25" s="689" t="s">
        <v>3027</v>
      </c>
      <c r="B25" s="738" t="str">
        <f>'Part III-Sources of Funds'!E37</f>
        <v>Regions Capital Markets Group</v>
      </c>
      <c r="C25" s="739">
        <f>'Part III-Sources of Funds'!I37</f>
        <v>3000000</v>
      </c>
      <c r="D25" s="740" t="s">
        <v>3028</v>
      </c>
      <c r="E25" s="686"/>
      <c r="F25" s="727"/>
      <c r="G25" s="686" t="s">
        <v>3029</v>
      </c>
      <c r="H25" s="686"/>
      <c r="I25" s="686"/>
      <c r="K25" s="739"/>
      <c r="L25" s="727"/>
      <c r="M25" s="729"/>
    </row>
    <row r="26" spans="1:13" ht="15">
      <c r="A26" s="686"/>
      <c r="B26" s="738"/>
      <c r="C26" s="739"/>
      <c r="D26" s="740"/>
      <c r="E26" s="686"/>
      <c r="F26" s="727"/>
      <c r="G26" s="686" t="s">
        <v>3030</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3031</v>
      </c>
      <c r="H28" s="686"/>
      <c r="I28" s="686"/>
      <c r="K28" s="739"/>
      <c r="L28" s="727"/>
      <c r="M28" s="686"/>
    </row>
    <row r="29" spans="1:13" ht="16.5" thickBot="1">
      <c r="A29" s="686"/>
      <c r="B29" s="742" t="s">
        <v>3032</v>
      </c>
      <c r="C29" s="743">
        <f>SUM(C25:C27)</f>
        <v>3000000</v>
      </c>
      <c r="D29" s="686"/>
      <c r="E29" s="686"/>
      <c r="F29" s="727"/>
      <c r="G29" s="686" t="s">
        <v>3033</v>
      </c>
      <c r="H29" s="686"/>
      <c r="I29" s="686"/>
      <c r="K29" s="741" t="e">
        <f>C29/K28</f>
        <v>#DIV/0!</v>
      </c>
      <c r="L29" s="727"/>
      <c r="M29" s="686"/>
    </row>
    <row r="30" spans="1:13" ht="16.5" thickTop="1">
      <c r="A30" s="689" t="s">
        <v>3034</v>
      </c>
      <c r="B30" s="742"/>
      <c r="C30" s="744">
        <f>'Part III-Sources of Funds'!$I$49+'Part III-Sources of Funds'!$I$50</f>
        <v>12741004</v>
      </c>
      <c r="D30" s="686"/>
      <c r="E30" s="686"/>
      <c r="F30" s="727"/>
      <c r="G30" s="686"/>
      <c r="H30" s="686"/>
      <c r="I30" s="686"/>
      <c r="K30" s="745"/>
      <c r="L30" s="727"/>
      <c r="M30" s="686"/>
    </row>
    <row r="31" spans="1:13" ht="15">
      <c r="A31" s="746" t="s">
        <v>3035</v>
      </c>
      <c r="B31" s="738">
        <f>'Part III-Sources of Funds'!E38</f>
        <v>0</v>
      </c>
      <c r="C31" s="739">
        <f>'Part III-Sources of Funds'!I38</f>
        <v>0</v>
      </c>
      <c r="D31" s="740"/>
      <c r="E31" s="686"/>
      <c r="F31" s="727"/>
      <c r="G31" s="686"/>
      <c r="H31" s="686"/>
      <c r="I31" s="686"/>
      <c r="K31" s="686"/>
      <c r="L31" s="727"/>
      <c r="M31" s="686"/>
    </row>
    <row r="32" spans="1:13" ht="15">
      <c r="A32" s="746" t="s">
        <v>3035</v>
      </c>
      <c r="B32" s="738">
        <f>'Part III-Sources of Funds'!E39</f>
        <v>0</v>
      </c>
      <c r="C32" s="739">
        <f>'Part III-Sources of Funds'!I39</f>
        <v>0</v>
      </c>
      <c r="D32" s="740"/>
      <c r="E32" s="686" t="s">
        <v>245</v>
      </c>
      <c r="F32" s="727"/>
      <c r="G32" s="686" t="s">
        <v>3036</v>
      </c>
      <c r="H32" s="686"/>
      <c r="I32" s="686"/>
      <c r="K32" s="739"/>
      <c r="L32" s="727"/>
      <c r="M32" s="727"/>
    </row>
    <row r="33" spans="1:13" ht="15">
      <c r="A33" s="686"/>
      <c r="B33" s="727"/>
      <c r="C33" s="747"/>
      <c r="D33" s="686"/>
      <c r="E33" s="686"/>
      <c r="F33" s="727"/>
      <c r="G33" s="1393" t="s">
        <v>3037</v>
      </c>
      <c r="H33" s="1393"/>
      <c r="I33" s="1393"/>
      <c r="K33" s="741" t="e">
        <f>$C$29/K32</f>
        <v>#DIV/0!</v>
      </c>
      <c r="L33" s="727"/>
      <c r="M33" s="748"/>
    </row>
    <row r="34" spans="1:13" ht="15.75">
      <c r="A34" s="686"/>
      <c r="B34" s="742" t="s">
        <v>3038</v>
      </c>
      <c r="C34" s="747">
        <f>SUM(C31:C32)</f>
        <v>0</v>
      </c>
      <c r="D34" s="686"/>
      <c r="E34" s="686"/>
      <c r="F34" s="686"/>
      <c r="G34" s="686"/>
      <c r="H34" s="686"/>
      <c r="I34" s="686"/>
      <c r="K34" s="727"/>
      <c r="L34" s="686"/>
      <c r="M34" s="748"/>
    </row>
    <row r="35" spans="1:13" ht="15.75">
      <c r="A35" s="686"/>
      <c r="B35" s="742"/>
      <c r="C35" s="686"/>
      <c r="D35" s="686"/>
      <c r="E35" s="686"/>
      <c r="F35" s="686"/>
      <c r="G35" s="1393" t="s">
        <v>3039</v>
      </c>
      <c r="H35" s="1393"/>
      <c r="I35" s="1393"/>
      <c r="K35" s="749" t="e">
        <f>(C36)/K25</f>
        <v>#DIV/0!</v>
      </c>
      <c r="L35" s="686"/>
      <c r="M35" s="727"/>
    </row>
    <row r="36" spans="1:13" ht="15.75">
      <c r="A36" s="686"/>
      <c r="B36" s="742" t="s">
        <v>3040</v>
      </c>
      <c r="C36" s="747">
        <f>C29+C34</f>
        <v>3000000</v>
      </c>
      <c r="D36" s="686"/>
      <c r="E36" s="686"/>
      <c r="F36" s="686"/>
      <c r="G36" s="686"/>
      <c r="H36" s="686"/>
      <c r="I36" s="686"/>
      <c r="K36" s="727"/>
      <c r="L36" s="686"/>
      <c r="M36" s="727"/>
    </row>
    <row r="37" spans="1:13" ht="15.75">
      <c r="A37" s="686"/>
      <c r="B37" s="742"/>
      <c r="C37" s="750"/>
      <c r="D37" s="686"/>
      <c r="E37" s="686"/>
      <c r="F37" s="686"/>
      <c r="G37" s="1393" t="s">
        <v>3041</v>
      </c>
      <c r="H37" s="1393"/>
      <c r="I37" s="1393"/>
      <c r="K37" s="1394" t="e">
        <f>+(C36)/K32</f>
        <v>#DIV/0!</v>
      </c>
      <c r="L37" s="686"/>
      <c r="M37" s="748"/>
    </row>
    <row r="38" spans="1:13" ht="15.75">
      <c r="A38" s="686"/>
      <c r="B38" s="742" t="s">
        <v>3042</v>
      </c>
      <c r="C38" s="751">
        <f>C36/C18</f>
        <v>0.18627699836722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3043</v>
      </c>
      <c r="C40" s="751">
        <f>C36/H18</f>
        <v>0.317194377666217</v>
      </c>
      <c r="D40" s="686"/>
      <c r="E40" s="686"/>
      <c r="F40" s="689"/>
      <c r="G40" s="689" t="s">
        <v>3044</v>
      </c>
      <c r="H40" s="686"/>
      <c r="I40" s="686"/>
      <c r="K40" s="741">
        <f>C30/C18</f>
        <v>0.79111866043491452</v>
      </c>
      <c r="L40" s="686"/>
      <c r="M40" s="686"/>
    </row>
    <row r="46" spans="1:13" ht="15.75">
      <c r="A46" s="752" t="s">
        <v>3045</v>
      </c>
      <c r="B46" s="722"/>
      <c r="C46" s="722"/>
      <c r="D46" s="722"/>
      <c r="E46" s="722"/>
      <c r="F46" s="722"/>
      <c r="G46" s="722"/>
      <c r="H46" s="722"/>
      <c r="I46" s="722"/>
      <c r="J46" s="722"/>
      <c r="K46" s="722"/>
      <c r="L46" s="722"/>
      <c r="M46" s="686"/>
    </row>
    <row r="47" spans="1:13" ht="15.75">
      <c r="A47" s="752" t="str">
        <f>C8</f>
        <v>Grayling Place</v>
      </c>
      <c r="B47" s="722"/>
      <c r="C47" s="722"/>
      <c r="D47" s="722"/>
      <c r="E47" s="722"/>
      <c r="F47" s="722"/>
      <c r="G47" s="722"/>
      <c r="H47" s="722"/>
      <c r="I47" s="722"/>
      <c r="J47" s="722"/>
      <c r="K47" s="722"/>
      <c r="L47" s="722"/>
      <c r="M47" s="686"/>
    </row>
    <row r="50" spans="1:14" s="686" customFormat="1" ht="15.75">
      <c r="A50" s="689" t="s">
        <v>3046</v>
      </c>
      <c r="C50" s="753" t="s">
        <v>3047</v>
      </c>
      <c r="E50" s="754" t="s">
        <v>3525</v>
      </c>
      <c r="F50" s="755">
        <v>0.1</v>
      </c>
      <c r="G50" s="754" t="s">
        <v>3526</v>
      </c>
      <c r="H50" s="755">
        <v>0.05</v>
      </c>
      <c r="I50" s="754" t="s">
        <v>3527</v>
      </c>
      <c r="J50" s="755">
        <v>0.03</v>
      </c>
      <c r="K50" s="3613" t="s">
        <v>3048</v>
      </c>
      <c r="L50" s="361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3049</v>
      </c>
      <c r="C52" s="758">
        <f>'Part VII-Pro Forma'!B14</f>
        <v>641736</v>
      </c>
      <c r="D52" s="758"/>
      <c r="E52" s="758">
        <f>$C$52</f>
        <v>641736</v>
      </c>
      <c r="F52" s="758"/>
      <c r="G52" s="758">
        <f>$C$52</f>
        <v>641736</v>
      </c>
      <c r="H52" s="758"/>
      <c r="I52" s="758">
        <f>$C$52</f>
        <v>641736</v>
      </c>
      <c r="J52" s="758"/>
      <c r="K52" s="758">
        <f>$C$52</f>
        <v>641736</v>
      </c>
      <c r="L52" s="759"/>
      <c r="M52" s="28"/>
      <c r="N52" s="28"/>
    </row>
    <row r="53" spans="1:14" s="686" customFormat="1" ht="18.75" customHeight="1">
      <c r="B53" s="757" t="s">
        <v>3052</v>
      </c>
      <c r="C53" s="758">
        <f>'Part VII-Pro Forma'!B15</f>
        <v>12000</v>
      </c>
      <c r="D53" s="758"/>
      <c r="E53" s="758">
        <f>$C$53</f>
        <v>12000</v>
      </c>
      <c r="F53" s="758"/>
      <c r="G53" s="758">
        <f>$C$53</f>
        <v>12000</v>
      </c>
      <c r="H53" s="758"/>
      <c r="I53" s="758">
        <f>$C$53</f>
        <v>12000</v>
      </c>
      <c r="J53" s="758"/>
      <c r="K53" s="758">
        <f>$C$53</f>
        <v>12000</v>
      </c>
      <c r="L53" s="759"/>
      <c r="M53" s="28"/>
      <c r="N53" s="28"/>
    </row>
    <row r="54" spans="1:14" s="686" customFormat="1" ht="18.75" customHeight="1">
      <c r="B54" s="757" t="s">
        <v>3050</v>
      </c>
      <c r="C54" s="758">
        <f>'Part VII-Pro Forma'!B16</f>
        <v>-45761.520000000004</v>
      </c>
      <c r="D54" s="758"/>
      <c r="E54" s="758">
        <f>-($C$52+E53)*F50</f>
        <v>-65373.600000000006</v>
      </c>
      <c r="F54" s="760"/>
      <c r="G54" s="758">
        <f>-($C$52+G53)*0.07</f>
        <v>-45761.520000000004</v>
      </c>
      <c r="H54" s="758"/>
      <c r="I54" s="758">
        <f>-($C$52+I53)*0.07</f>
        <v>-45761.520000000004</v>
      </c>
      <c r="J54" s="758"/>
      <c r="K54" s="758">
        <f>-($C$52+K53)*L54</f>
        <v>-65373.600000000006</v>
      </c>
      <c r="L54" s="761">
        <v>0.1</v>
      </c>
      <c r="M54" s="28"/>
      <c r="N54" s="28"/>
    </row>
    <row r="55" spans="1:14" s="686" customFormat="1" ht="18.75" customHeight="1">
      <c r="B55" s="757" t="s">
        <v>3051</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3053</v>
      </c>
      <c r="C56" s="764">
        <f>SUM(C52:C55)</f>
        <v>607974.48</v>
      </c>
      <c r="D56" s="758"/>
      <c r="E56" s="764">
        <f>SUM(E52:E55)</f>
        <v>588362.4</v>
      </c>
      <c r="F56" s="758"/>
      <c r="G56" s="764">
        <f>SUM(G52:G55)</f>
        <v>607974.48</v>
      </c>
      <c r="H56" s="758"/>
      <c r="I56" s="764">
        <f>SUM(I52:I55)</f>
        <v>607974.48</v>
      </c>
      <c r="J56" s="758"/>
      <c r="K56" s="764">
        <f>SUM(K52:K55)</f>
        <v>588362.4</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3054</v>
      </c>
      <c r="C58" s="758">
        <f>+'Part VI-Revenues &amp; Expenses'!F168+'Part VI-Revenues &amp; Expenses'!F177+'Part VI-Revenues &amp; Expenses'!K166+'Part VI-Revenues &amp; Expenses'!K175</f>
        <v>127250</v>
      </c>
      <c r="D58" s="758"/>
      <c r="E58" s="758">
        <f>$C$58</f>
        <v>127250</v>
      </c>
      <c r="F58" s="758"/>
      <c r="G58" s="758">
        <f>$C$58</f>
        <v>127250</v>
      </c>
      <c r="H58" s="758"/>
      <c r="I58" s="758">
        <f>$C$58</f>
        <v>127250</v>
      </c>
      <c r="J58" s="758"/>
      <c r="K58" s="758">
        <f>$C$58</f>
        <v>127250</v>
      </c>
      <c r="L58" s="759"/>
      <c r="M58" s="28"/>
      <c r="N58" s="28"/>
    </row>
    <row r="59" spans="1:14" s="686" customFormat="1" ht="18.75" customHeight="1">
      <c r="B59" s="757" t="s">
        <v>3055</v>
      </c>
      <c r="C59" s="758">
        <f>+'Part VI-Revenues &amp; Expenses'!F188</f>
        <v>70075</v>
      </c>
      <c r="D59" s="758"/>
      <c r="E59" s="758">
        <f>$C$59</f>
        <v>70075</v>
      </c>
      <c r="F59" s="758"/>
      <c r="G59" s="758">
        <f>$C$59</f>
        <v>70075</v>
      </c>
      <c r="H59" s="758"/>
      <c r="I59" s="758">
        <f>$C$59</f>
        <v>70075</v>
      </c>
      <c r="J59" s="758"/>
      <c r="K59" s="758">
        <f>$C$59*(1+$L$59)</f>
        <v>72878</v>
      </c>
      <c r="L59" s="766">
        <v>0.04</v>
      </c>
      <c r="M59" s="28"/>
      <c r="N59" s="28"/>
    </row>
    <row r="60" spans="1:14" s="686" customFormat="1" ht="18.75" customHeight="1">
      <c r="B60" s="757" t="s">
        <v>1387</v>
      </c>
      <c r="C60" s="758">
        <f>+'Part VI-Revenues &amp; Expenses'!K185</f>
        <v>48000</v>
      </c>
      <c r="D60" s="758"/>
      <c r="E60" s="758">
        <f>$C$60</f>
        <v>48000</v>
      </c>
      <c r="F60" s="758"/>
      <c r="G60" s="758">
        <f>$C$60</f>
        <v>48000</v>
      </c>
      <c r="H60" s="758"/>
      <c r="I60" s="758">
        <f>$C$60*(1+$J$50)</f>
        <v>49440</v>
      </c>
      <c r="J60" s="760"/>
      <c r="K60" s="758">
        <f>$C$60*(1+$J$50)</f>
        <v>49440</v>
      </c>
      <c r="L60" s="761">
        <v>0.03</v>
      </c>
      <c r="M60" s="28"/>
      <c r="N60" s="28"/>
    </row>
    <row r="61" spans="1:14" s="686" customFormat="1" ht="18.75" customHeight="1">
      <c r="B61" s="757" t="s">
        <v>1388</v>
      </c>
      <c r="C61" s="758">
        <f>+'Part VI-Revenues &amp; Expenses'!P167</f>
        <v>58861</v>
      </c>
      <c r="D61" s="758"/>
      <c r="E61" s="758">
        <f>$C$61</f>
        <v>58861</v>
      </c>
      <c r="F61" s="758"/>
      <c r="G61" s="758">
        <f>$C$61*(1+H50)</f>
        <v>61804.05</v>
      </c>
      <c r="H61" s="760"/>
      <c r="I61" s="758">
        <f>$C$61</f>
        <v>58861</v>
      </c>
      <c r="J61" s="758"/>
      <c r="K61" s="758">
        <f>$C$61*(1+$L$61)</f>
        <v>61804.05</v>
      </c>
      <c r="L61" s="761">
        <v>0.05</v>
      </c>
      <c r="M61" s="28"/>
      <c r="N61" s="28"/>
    </row>
    <row r="62" spans="1:14" s="686" customFormat="1" ht="18.75" customHeight="1">
      <c r="B62" s="763" t="s">
        <v>3056</v>
      </c>
      <c r="C62" s="764">
        <f>SUM(C58:C61)</f>
        <v>304186</v>
      </c>
      <c r="D62" s="758"/>
      <c r="E62" s="764">
        <f>SUM(E58:E61)</f>
        <v>304186</v>
      </c>
      <c r="F62" s="758"/>
      <c r="G62" s="764">
        <f>SUM(G58:G61)</f>
        <v>307129.05</v>
      </c>
      <c r="H62" s="758"/>
      <c r="I62" s="764">
        <f>SUM(I58:I61)</f>
        <v>305626</v>
      </c>
      <c r="J62" s="758"/>
      <c r="K62" s="764">
        <f>SUM(K58:K61)</f>
        <v>311372.05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3057</v>
      </c>
      <c r="C64" s="770">
        <f>C56-C62</f>
        <v>303788.48</v>
      </c>
      <c r="D64" s="770"/>
      <c r="E64" s="770">
        <f>E56-E62</f>
        <v>284176.40000000002</v>
      </c>
      <c r="F64" s="770"/>
      <c r="G64" s="770">
        <f>G56-G62</f>
        <v>300845.43</v>
      </c>
      <c r="H64" s="770"/>
      <c r="I64" s="770">
        <f>I56-I62</f>
        <v>302348.48</v>
      </c>
      <c r="J64" s="770"/>
      <c r="K64" s="770">
        <f>K56-K62</f>
        <v>276990.35000000003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3058</v>
      </c>
      <c r="C66" s="765">
        <f>'Part VI-Revenues &amp; Expenses'!P179</f>
        <v>21000</v>
      </c>
      <c r="D66" s="765"/>
      <c r="E66" s="765">
        <f>$C$66</f>
        <v>21000</v>
      </c>
      <c r="F66" s="765"/>
      <c r="G66" s="765">
        <f>$C$66</f>
        <v>21000</v>
      </c>
      <c r="H66" s="765"/>
      <c r="I66" s="765">
        <f>$C$66</f>
        <v>21000</v>
      </c>
      <c r="J66" s="765"/>
      <c r="K66" s="765">
        <f>$C$66</f>
        <v>21000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3059</v>
      </c>
      <c r="C68" s="765">
        <f>'Part VI-Revenues &amp; Expenses'!P170</f>
        <v>48638</v>
      </c>
      <c r="D68" s="765"/>
      <c r="E68" s="765">
        <f>$C$68</f>
        <v>48638</v>
      </c>
      <c r="F68" s="765"/>
      <c r="G68" s="765">
        <f>$C$68</f>
        <v>48638</v>
      </c>
      <c r="H68" s="765"/>
      <c r="I68" s="765">
        <f>$C$68</f>
        <v>48638</v>
      </c>
      <c r="J68" s="765"/>
      <c r="K68" s="765">
        <f>$C$68</f>
        <v>48638</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3060</v>
      </c>
      <c r="C70" s="773">
        <f>C64-C66-C68</f>
        <v>234150.47999999998</v>
      </c>
      <c r="D70" s="774"/>
      <c r="E70" s="773">
        <f>E64-E66-E68</f>
        <v>214538.40000000002</v>
      </c>
      <c r="F70" s="774"/>
      <c r="G70" s="773">
        <f>G64-G66-G68</f>
        <v>231207.43</v>
      </c>
      <c r="H70" s="774"/>
      <c r="I70" s="773">
        <f>I64-I66-I68</f>
        <v>232710.47999999998</v>
      </c>
      <c r="J70" s="774"/>
      <c r="K70" s="773">
        <f>K64-K66-K68</f>
        <v>207352.35000000003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3061</v>
      </c>
      <c r="C72" s="1438">
        <f>-C70/C75</f>
        <v>1.2111699871399688</v>
      </c>
      <c r="D72" s="776"/>
      <c r="E72" s="1438">
        <f>-E70/E75</f>
        <v>1.1097242729078731</v>
      </c>
      <c r="F72" s="776"/>
      <c r="G72" s="1438">
        <f>-G70/G75</f>
        <v>1.1959467263093597</v>
      </c>
      <c r="H72" s="776"/>
      <c r="I72" s="1438">
        <f>-I70/I75</f>
        <v>1.2037214233724225</v>
      </c>
      <c r="J72" s="776"/>
      <c r="K72" s="1438">
        <f>-K70/K75</f>
        <v>1.0725536120316403</v>
      </c>
      <c r="L72" s="777"/>
      <c r="M72" s="254"/>
      <c r="N72" s="254"/>
    </row>
    <row r="73" spans="1:14" s="686" customFormat="1" ht="18.75" customHeight="1">
      <c r="A73" s="28"/>
      <c r="B73" s="757" t="s">
        <v>3062</v>
      </c>
      <c r="C73" s="1439">
        <f>C76/C62</f>
        <v>0.13420939648721872</v>
      </c>
      <c r="D73" s="778"/>
      <c r="E73" s="1439">
        <f>E76/E62</f>
        <v>6.9735423326060877E-2</v>
      </c>
      <c r="F73" s="778"/>
      <c r="G73" s="1439">
        <f>G76/G62</f>
        <v>0.12334088709570495</v>
      </c>
      <c r="H73" s="778"/>
      <c r="I73" s="1439">
        <f>I76/I62</f>
        <v>0.12886540896344262</v>
      </c>
      <c r="J73" s="778"/>
      <c r="K73" s="1439">
        <f>K76/K62</f>
        <v>4.5047362086164007E-2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3063</v>
      </c>
      <c r="C75" s="758">
        <f>+SUM('Part VII-Pro Forma'!B23:B26)</f>
        <v>-193325.86052013887</v>
      </c>
      <c r="D75" s="758"/>
      <c r="E75" s="758">
        <f>$C$75</f>
        <v>-193325.86052013887</v>
      </c>
      <c r="F75" s="758"/>
      <c r="G75" s="758">
        <f>$C$75</f>
        <v>-193325.86052013887</v>
      </c>
      <c r="H75" s="758"/>
      <c r="I75" s="758">
        <f>$C$75</f>
        <v>-193325.86052013887</v>
      </c>
      <c r="J75" s="758"/>
      <c r="K75" s="758">
        <f>$C$75</f>
        <v>-193325.86052013887</v>
      </c>
      <c r="L75" s="34"/>
      <c r="M75" s="28"/>
      <c r="N75" s="28"/>
    </row>
    <row r="76" spans="1:14" s="686" customFormat="1" ht="18.75" customHeight="1">
      <c r="A76" s="28"/>
      <c r="B76" s="757" t="s">
        <v>1175</v>
      </c>
      <c r="C76" s="758">
        <f>C70+C75</f>
        <v>40824.61947986111</v>
      </c>
      <c r="D76" s="758"/>
      <c r="E76" s="758">
        <f>E70+E75</f>
        <v>21212.539479861152</v>
      </c>
      <c r="F76" s="758"/>
      <c r="G76" s="758">
        <f>G70+G75</f>
        <v>37881.569479861122</v>
      </c>
      <c r="H76" s="758"/>
      <c r="I76" s="758">
        <f>I70+I75</f>
        <v>39384.61947986111</v>
      </c>
      <c r="J76" s="758"/>
      <c r="K76" s="758">
        <f>K70+K75</f>
        <v>14026.489479861164</v>
      </c>
      <c r="L76" s="34"/>
      <c r="M76" s="28"/>
      <c r="N76" s="28"/>
    </row>
    <row r="77" spans="1:14" s="686" customFormat="1" ht="15" hidden="1">
      <c r="A77" s="28"/>
      <c r="B77" s="757" t="s">
        <v>3064</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3065</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3066</v>
      </c>
      <c r="C80" s="781" t="e">
        <f>MIN(C77,E77,G77,I77,K77)</f>
        <v>#NAME?</v>
      </c>
      <c r="D80" s="767"/>
      <c r="E80" s="767" t="s">
        <v>3067</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2950</v>
      </c>
      <c r="B2" s="696"/>
      <c r="C2" s="696"/>
      <c r="D2" s="696"/>
      <c r="E2" s="697"/>
      <c r="F2" s="696"/>
      <c r="G2" s="696"/>
      <c r="H2" s="696"/>
      <c r="I2" s="696"/>
      <c r="J2" s="696"/>
    </row>
    <row r="3" spans="1:10" ht="15">
      <c r="A3" s="699"/>
    </row>
    <row r="4" spans="1:10" ht="15">
      <c r="A4" s="699" t="s">
        <v>2951</v>
      </c>
      <c r="D4" s="698" t="s">
        <v>2952</v>
      </c>
    </row>
    <row r="5" spans="1:10" ht="15">
      <c r="A5" s="699"/>
    </row>
    <row r="6" spans="1:10" ht="15">
      <c r="A6" s="699" t="s">
        <v>2953</v>
      </c>
      <c r="D6" s="698" t="s">
        <v>2954</v>
      </c>
    </row>
    <row r="7" spans="1:10" ht="15">
      <c r="A7" s="699"/>
    </row>
    <row r="8" spans="1:10" ht="15">
      <c r="A8" s="699" t="s">
        <v>2955</v>
      </c>
      <c r="D8" s="700" t="s">
        <v>2956</v>
      </c>
    </row>
    <row r="9" spans="1:10" ht="15">
      <c r="A9" s="699"/>
    </row>
    <row r="10" spans="1:10" ht="15">
      <c r="A10" s="699" t="s">
        <v>2957</v>
      </c>
      <c r="D10" s="700" t="s">
        <v>2958</v>
      </c>
    </row>
    <row r="11" spans="1:10" ht="15">
      <c r="A11" s="699"/>
      <c r="D11" s="1467"/>
    </row>
    <row r="12" spans="1:10" ht="15">
      <c r="A12" s="699" t="s">
        <v>2959</v>
      </c>
      <c r="D12" s="698" t="s">
        <v>623</v>
      </c>
      <c r="F12" s="1467" t="str">
        <f>Overview!$C$8</f>
        <v>Grayling Place</v>
      </c>
    </row>
    <row r="13" spans="1:10" ht="15">
      <c r="A13" s="699"/>
      <c r="D13" s="698" t="s">
        <v>2960</v>
      </c>
      <c r="F13" s="1467" t="str">
        <f>Overview!E8</f>
        <v>2018-021</v>
      </c>
    </row>
    <row r="14" spans="1:10" ht="15">
      <c r="A14" s="699"/>
      <c r="D14" s="698" t="s">
        <v>2961</v>
      </c>
      <c r="F14" s="1467" t="str">
        <f>Overview!H8</f>
        <v>Columbus, Muscogee</v>
      </c>
    </row>
    <row r="15" spans="1:10" ht="15">
      <c r="A15" s="699"/>
      <c r="D15" s="698" t="s">
        <v>3325</v>
      </c>
      <c r="F15" s="3616">
        <f>Overview!$C$25</f>
        <v>3000000</v>
      </c>
      <c r="G15" s="3616"/>
      <c r="H15" s="3616"/>
    </row>
    <row r="16" spans="1:10" ht="15">
      <c r="A16" s="699"/>
      <c r="D16" s="701" t="s">
        <v>2962</v>
      </c>
      <c r="F16" s="702">
        <f>Overview!C13</f>
        <v>84</v>
      </c>
      <c r="G16" s="703" t="s">
        <v>3326</v>
      </c>
      <c r="H16" s="1391">
        <f>Overview!E13</f>
        <v>67</v>
      </c>
    </row>
    <row r="17" spans="1:18" ht="15">
      <c r="A17" s="699"/>
      <c r="D17" s="701" t="s">
        <v>2925</v>
      </c>
      <c r="F17" s="702" t="str">
        <f>Overview!C14</f>
        <v>Family</v>
      </c>
    </row>
    <row r="18" spans="1:18" ht="15">
      <c r="A18" s="699"/>
      <c r="D18" s="701" t="s">
        <v>3330</v>
      </c>
      <c r="F18" s="1467" t="str">
        <f>Overview!H15</f>
        <v>Urban</v>
      </c>
    </row>
    <row r="19" spans="1:18" ht="15">
      <c r="A19" s="699"/>
      <c r="D19" s="701" t="s">
        <v>3327</v>
      </c>
      <c r="F19" s="1467" t="str">
        <f>Overview!E16</f>
        <v>No</v>
      </c>
    </row>
    <row r="20" spans="1:18" ht="15">
      <c r="A20" s="699"/>
      <c r="D20" s="701"/>
    </row>
    <row r="21" spans="1:18" ht="15">
      <c r="A21" s="704" t="s">
        <v>2963</v>
      </c>
    </row>
    <row r="22" spans="1:18" ht="111.75" customHeight="1">
      <c r="A22" s="3623" t="s">
        <v>3523</v>
      </c>
      <c r="B22" s="3623"/>
      <c r="C22" s="3623"/>
      <c r="D22" s="3623"/>
      <c r="E22" s="3623"/>
      <c r="F22" s="3623"/>
      <c r="G22" s="3623"/>
      <c r="H22" s="3623"/>
      <c r="I22" s="3623"/>
      <c r="J22" s="3623"/>
      <c r="L22" s="3631" t="s">
        <v>3335</v>
      </c>
      <c r="M22" s="3631"/>
      <c r="N22" s="3631"/>
      <c r="O22" s="3631"/>
      <c r="P22" s="3631"/>
      <c r="Q22" s="3631"/>
      <c r="R22" s="3631"/>
    </row>
    <row r="23" spans="1:18" ht="0.75" hidden="1" customHeight="1">
      <c r="A23" s="1457"/>
      <c r="B23" s="1457"/>
      <c r="C23" s="1457"/>
      <c r="D23" s="1457"/>
      <c r="E23" s="1457"/>
      <c r="F23" s="1457"/>
      <c r="G23" s="1457"/>
      <c r="H23" s="1457"/>
      <c r="I23" s="1457"/>
      <c r="J23" s="1457"/>
    </row>
    <row r="24" spans="1:18" ht="9.75" hidden="1" customHeight="1">
      <c r="A24" s="3632"/>
      <c r="B24" s="3632"/>
      <c r="C24" s="3632"/>
      <c r="D24" s="3632"/>
      <c r="E24" s="3632"/>
      <c r="F24" s="3632"/>
      <c r="G24" s="3632"/>
      <c r="H24" s="3632"/>
      <c r="I24" s="3632"/>
      <c r="J24" s="3632"/>
    </row>
    <row r="25" spans="1:18" ht="10.5" hidden="1" customHeight="1">
      <c r="A25" s="3633"/>
      <c r="B25" s="3633"/>
      <c r="C25" s="3633"/>
      <c r="D25" s="3633"/>
      <c r="E25" s="3633"/>
      <c r="F25" s="3633"/>
      <c r="G25" s="3633"/>
      <c r="H25" s="3633"/>
      <c r="I25" s="3633"/>
      <c r="J25" s="3633"/>
    </row>
    <row r="26" spans="1:18" ht="15">
      <c r="A26" s="704" t="s">
        <v>2964</v>
      </c>
    </row>
    <row r="27" spans="1:18" ht="14.25" customHeight="1">
      <c r="A27" s="3634" t="s">
        <v>2965</v>
      </c>
      <c r="B27" s="3634"/>
      <c r="C27" s="3634"/>
      <c r="D27" s="3634"/>
      <c r="E27" s="3634"/>
      <c r="F27" s="3634"/>
      <c r="G27" s="3634"/>
      <c r="H27" s="3634"/>
      <c r="I27" s="3634"/>
      <c r="J27" s="3634"/>
    </row>
    <row r="28" spans="1:18" ht="14.25" customHeight="1">
      <c r="A28" s="3634"/>
      <c r="B28" s="3634"/>
      <c r="C28" s="3634"/>
      <c r="D28" s="3634"/>
      <c r="E28" s="3634"/>
      <c r="F28" s="3634"/>
      <c r="G28" s="3634"/>
      <c r="H28" s="3634"/>
      <c r="I28" s="3634"/>
      <c r="J28" s="3634"/>
    </row>
    <row r="29" spans="1:18" ht="6.75" customHeight="1">
      <c r="A29" s="3634"/>
      <c r="B29" s="3634"/>
      <c r="C29" s="3634"/>
      <c r="D29" s="3634"/>
      <c r="E29" s="3634"/>
      <c r="F29" s="3634"/>
      <c r="G29" s="3634"/>
      <c r="H29" s="3634"/>
      <c r="I29" s="3634"/>
      <c r="J29" s="3634"/>
    </row>
    <row r="30" spans="1:18" ht="14.25" customHeight="1">
      <c r="A30" s="3634"/>
      <c r="B30" s="3634"/>
      <c r="C30" s="3634"/>
      <c r="D30" s="3634"/>
      <c r="E30" s="3634"/>
      <c r="F30" s="3634"/>
      <c r="G30" s="3634"/>
      <c r="H30" s="3634"/>
      <c r="I30" s="3634"/>
      <c r="J30" s="3634"/>
    </row>
    <row r="31" spans="1:18" ht="14.25" customHeight="1">
      <c r="A31" s="3634"/>
      <c r="B31" s="3634"/>
      <c r="C31" s="3634"/>
      <c r="D31" s="3634"/>
      <c r="E31" s="3634"/>
      <c r="F31" s="3634"/>
      <c r="G31" s="3634"/>
      <c r="H31" s="3634"/>
      <c r="I31" s="3634"/>
      <c r="J31" s="3634"/>
    </row>
    <row r="32" spans="1:18" ht="54.75" customHeight="1">
      <c r="A32" s="3634"/>
      <c r="B32" s="3634"/>
      <c r="C32" s="3634"/>
      <c r="D32" s="3634"/>
      <c r="E32" s="3634"/>
      <c r="F32" s="3634"/>
      <c r="G32" s="3634"/>
      <c r="H32" s="3634"/>
      <c r="I32" s="3634"/>
      <c r="J32" s="3634"/>
    </row>
    <row r="33" spans="1:10" ht="0.75" hidden="1" customHeight="1">
      <c r="A33" s="3634"/>
      <c r="B33" s="3634"/>
      <c r="C33" s="3634"/>
      <c r="D33" s="3634"/>
      <c r="E33" s="3634"/>
      <c r="F33" s="3634"/>
      <c r="G33" s="3634"/>
      <c r="H33" s="3634"/>
      <c r="I33" s="3634"/>
      <c r="J33" s="3634"/>
    </row>
    <row r="34" spans="1:10" ht="3.75" hidden="1" customHeight="1">
      <c r="A34" s="3634"/>
      <c r="B34" s="3634"/>
      <c r="C34" s="3634"/>
      <c r="D34" s="3634"/>
      <c r="E34" s="3634"/>
      <c r="F34" s="3634"/>
      <c r="G34" s="3634"/>
      <c r="H34" s="3634"/>
      <c r="I34" s="3634"/>
      <c r="J34" s="3634"/>
    </row>
    <row r="35" spans="1:10" ht="5.25" customHeight="1">
      <c r="A35" s="1464"/>
      <c r="B35" s="1464"/>
      <c r="C35" s="1464"/>
      <c r="D35" s="1464"/>
      <c r="E35" s="1464"/>
      <c r="F35" s="1464"/>
      <c r="G35" s="1464"/>
      <c r="H35" s="1464"/>
      <c r="I35" s="1464"/>
      <c r="J35" s="1464"/>
    </row>
    <row r="36" spans="1:10" ht="19.5" customHeight="1">
      <c r="A36" s="3632" t="s">
        <v>2966</v>
      </c>
      <c r="B36" s="3632"/>
      <c r="C36" s="3632"/>
      <c r="D36" s="1457"/>
      <c r="E36" s="1457"/>
      <c r="F36" s="1457"/>
      <c r="G36" s="1457"/>
      <c r="H36" s="1457"/>
      <c r="I36" s="1457"/>
      <c r="J36" s="1457"/>
    </row>
    <row r="37" spans="1:10" ht="15" customHeight="1">
      <c r="A37" s="3601"/>
      <c r="B37" s="3601"/>
      <c r="C37" s="3601"/>
      <c r="D37" s="3601"/>
      <c r="E37" s="3601"/>
      <c r="F37" s="3601"/>
      <c r="G37" s="3601"/>
      <c r="H37" s="3601"/>
      <c r="I37" s="3601"/>
      <c r="J37" s="3601"/>
    </row>
    <row r="38" spans="1:10" ht="33.75" customHeight="1">
      <c r="A38" s="3601"/>
      <c r="B38" s="3601"/>
      <c r="C38" s="3601"/>
      <c r="D38" s="3601"/>
      <c r="E38" s="3601"/>
      <c r="F38" s="3601"/>
      <c r="G38" s="3601"/>
      <c r="H38" s="3601"/>
      <c r="I38" s="3601"/>
      <c r="J38" s="3601"/>
    </row>
    <row r="39" spans="1:10" ht="2.25" customHeight="1">
      <c r="A39" s="1457"/>
      <c r="B39" s="1457"/>
      <c r="C39" s="1457"/>
      <c r="D39" s="1457"/>
      <c r="E39" s="1457"/>
      <c r="F39" s="1457"/>
      <c r="G39" s="1457"/>
      <c r="H39" s="1457"/>
      <c r="I39" s="1457"/>
      <c r="J39" s="1457"/>
    </row>
    <row r="40" spans="1:10" ht="15">
      <c r="A40" s="704" t="s">
        <v>2967</v>
      </c>
    </row>
    <row r="41" spans="1:10" ht="135" customHeight="1">
      <c r="A41" s="3633" t="s">
        <v>4293</v>
      </c>
      <c r="B41" s="3633"/>
      <c r="C41" s="3633"/>
      <c r="D41" s="3633"/>
      <c r="E41" s="3633"/>
      <c r="F41" s="3633"/>
      <c r="G41" s="3633"/>
      <c r="H41" s="3633"/>
      <c r="I41" s="3633"/>
      <c r="J41" s="3633"/>
    </row>
    <row r="42" spans="1:10" ht="6" customHeight="1">
      <c r="A42" s="1463"/>
      <c r="B42" s="1463"/>
      <c r="C42" s="1463"/>
      <c r="D42" s="1463"/>
      <c r="E42" s="1463"/>
      <c r="F42" s="1463"/>
      <c r="G42" s="1463"/>
      <c r="H42" s="1463"/>
      <c r="I42" s="1463"/>
      <c r="J42" s="1463"/>
    </row>
    <row r="43" spans="1:10" ht="15">
      <c r="A43" s="704" t="s">
        <v>2968</v>
      </c>
    </row>
    <row r="44" spans="1:10" ht="33" customHeight="1">
      <c r="A44" s="3601" t="s">
        <v>4303</v>
      </c>
      <c r="B44" s="3602"/>
      <c r="C44" s="3602"/>
      <c r="D44" s="3602"/>
      <c r="E44" s="3602"/>
      <c r="F44" s="3602"/>
      <c r="G44" s="3602"/>
      <c r="H44" s="3602"/>
      <c r="I44" s="3602"/>
      <c r="J44" s="3601"/>
    </row>
    <row r="45" spans="1:10" ht="3" customHeight="1"/>
    <row r="46" spans="1:10" ht="72.75" customHeight="1">
      <c r="A46" s="3601" t="s">
        <v>4304</v>
      </c>
      <c r="B46" s="3601"/>
      <c r="C46" s="3601"/>
      <c r="D46" s="3601"/>
      <c r="E46" s="3601"/>
      <c r="F46" s="3601"/>
      <c r="G46" s="3601"/>
      <c r="H46" s="3601"/>
      <c r="I46" s="3601"/>
      <c r="J46" s="3601"/>
    </row>
    <row r="47" spans="1:10" ht="3" customHeight="1">
      <c r="A47" s="1457"/>
      <c r="B47" s="1457"/>
      <c r="C47" s="1457"/>
      <c r="D47" s="1457"/>
      <c r="E47" s="1457"/>
      <c r="F47" s="1457"/>
      <c r="G47" s="1457"/>
      <c r="H47" s="1457"/>
      <c r="I47" s="1457"/>
      <c r="J47" s="1457"/>
    </row>
    <row r="48" spans="1:10" ht="56.25" customHeight="1">
      <c r="A48" s="3601" t="s">
        <v>4305</v>
      </c>
      <c r="B48" s="3601"/>
      <c r="C48" s="3601"/>
      <c r="D48" s="3601"/>
      <c r="E48" s="3601"/>
      <c r="F48" s="3601"/>
      <c r="G48" s="3601"/>
      <c r="H48" s="3601"/>
      <c r="I48" s="3601"/>
      <c r="J48" s="3601"/>
    </row>
    <row r="49" spans="1:17" ht="3" customHeight="1">
      <c r="A49" s="1457"/>
      <c r="B49" s="1457"/>
      <c r="C49" s="1457"/>
      <c r="D49" s="1457"/>
      <c r="E49" s="1457"/>
      <c r="F49" s="1457"/>
      <c r="G49" s="1457"/>
      <c r="H49" s="1457"/>
      <c r="I49" s="1457"/>
      <c r="J49" s="1457"/>
    </row>
    <row r="50" spans="1:17" ht="49.5" customHeight="1">
      <c r="A50" s="3601" t="s">
        <v>4306</v>
      </c>
      <c r="B50" s="3601"/>
      <c r="C50" s="3601"/>
      <c r="D50" s="3601"/>
      <c r="E50" s="3601"/>
      <c r="F50" s="3601"/>
      <c r="G50" s="3601"/>
      <c r="H50" s="3601"/>
      <c r="I50" s="3601"/>
      <c r="J50" s="1457"/>
    </row>
    <row r="51" spans="1:17" ht="3" customHeight="1">
      <c r="A51" s="1457"/>
      <c r="B51" s="1457"/>
      <c r="C51" s="1457"/>
      <c r="D51" s="1457"/>
      <c r="E51" s="1457"/>
      <c r="F51" s="1457"/>
      <c r="G51" s="1457"/>
      <c r="H51" s="1457"/>
      <c r="I51" s="1457"/>
      <c r="J51" s="1457"/>
    </row>
    <row r="52" spans="1:17" ht="54.75" customHeight="1">
      <c r="A52" s="3622" t="s">
        <v>3336</v>
      </c>
      <c r="B52" s="3620"/>
      <c r="C52" s="3620"/>
      <c r="D52" s="3620"/>
      <c r="E52" s="3620"/>
      <c r="F52" s="3620"/>
      <c r="G52" s="3620"/>
      <c r="H52" s="3620"/>
      <c r="I52" s="3620"/>
      <c r="J52" s="1457"/>
    </row>
    <row r="53" spans="1:17" ht="3" customHeight="1">
      <c r="A53" s="1457"/>
      <c r="B53" s="1457"/>
      <c r="C53" s="1457"/>
      <c r="D53" s="1457"/>
      <c r="E53" s="1457"/>
      <c r="F53" s="1457"/>
      <c r="G53" s="1457"/>
      <c r="H53" s="1457"/>
      <c r="I53" s="1457"/>
      <c r="J53" s="1457"/>
    </row>
    <row r="54" spans="1:17" ht="62.25" customHeight="1">
      <c r="A54" s="3620" t="s">
        <v>4307</v>
      </c>
      <c r="B54" s="3620"/>
      <c r="C54" s="3620"/>
      <c r="D54" s="3620"/>
      <c r="E54" s="3620"/>
      <c r="F54" s="3620"/>
      <c r="G54" s="3620"/>
      <c r="H54" s="3620"/>
      <c r="I54" s="3620"/>
      <c r="J54" s="3620"/>
    </row>
    <row r="55" spans="1:17" ht="3" customHeight="1"/>
    <row r="56" spans="1:17" ht="73.5" customHeight="1">
      <c r="A56" s="3601" t="s">
        <v>4308</v>
      </c>
      <c r="B56" s="3601"/>
      <c r="C56" s="3601"/>
      <c r="D56" s="3601"/>
      <c r="E56" s="3601"/>
      <c r="F56" s="3601"/>
      <c r="G56" s="3601"/>
      <c r="H56" s="3601"/>
      <c r="I56" s="3601"/>
      <c r="J56" s="3601"/>
    </row>
    <row r="57" spans="1:17" ht="6" customHeight="1">
      <c r="A57" s="1457" t="s">
        <v>245</v>
      </c>
      <c r="B57" s="1457"/>
      <c r="C57" s="1457"/>
      <c r="D57" s="1457"/>
      <c r="E57" s="1457"/>
      <c r="F57" s="1457"/>
      <c r="G57" s="1457"/>
      <c r="H57" s="1457"/>
      <c r="I57" s="1457"/>
      <c r="J57" s="1457"/>
    </row>
    <row r="58" spans="1:17" ht="15">
      <c r="A58" s="704" t="s">
        <v>2971</v>
      </c>
      <c r="L58" s="705" t="s">
        <v>3515</v>
      </c>
    </row>
    <row r="59" spans="1:17" ht="73.5" customHeight="1">
      <c r="A59" s="3623" t="s">
        <v>2972</v>
      </c>
      <c r="B59" s="3623"/>
      <c r="C59" s="3623"/>
      <c r="D59" s="3623"/>
      <c r="E59" s="3623"/>
      <c r="F59" s="3623"/>
      <c r="G59" s="3623"/>
      <c r="H59" s="3623"/>
      <c r="I59" s="3623"/>
      <c r="J59" s="3623"/>
      <c r="L59" s="706">
        <f>'Closing term sheet'!C133</f>
        <v>642978</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3620" t="s">
        <v>3413</v>
      </c>
      <c r="B61" s="3620"/>
      <c r="C61" s="3620"/>
      <c r="D61" s="3620"/>
      <c r="E61" s="3620"/>
      <c r="F61" s="3620"/>
      <c r="G61" s="3620"/>
      <c r="H61" s="3620"/>
      <c r="I61" s="3620"/>
      <c r="J61" s="711"/>
      <c r="L61" s="712">
        <f>'Part III-Sources of Funds'!I49</f>
        <v>8043152</v>
      </c>
      <c r="M61" s="713">
        <f>'Part IV-A-Uses of Funds'!$J$175</f>
        <v>923320</v>
      </c>
      <c r="N61" s="714">
        <f>'Part IV-A-Uses of Funds'!N168</f>
        <v>0.88</v>
      </c>
      <c r="O61" s="712">
        <f>'Part III-Sources of Funds'!I50</f>
        <v>4697852</v>
      </c>
      <c r="P61" s="713">
        <f>M61</f>
        <v>923320</v>
      </c>
      <c r="Q61" s="714">
        <f>'Part IV-A-Uses of Funds'!Q168</f>
        <v>0.5</v>
      </c>
    </row>
    <row r="62" spans="1:17" ht="18.75" customHeight="1">
      <c r="A62" s="715" t="s">
        <v>2973</v>
      </c>
    </row>
    <row r="63" spans="1:17" ht="159.75" customHeight="1">
      <c r="A63" s="3620" t="s">
        <v>4309</v>
      </c>
      <c r="B63" s="3620"/>
      <c r="C63" s="3620"/>
      <c r="D63" s="3620"/>
      <c r="E63" s="3620"/>
      <c r="F63" s="3620"/>
      <c r="G63" s="3620"/>
      <c r="H63" s="3620"/>
      <c r="I63" s="3620"/>
      <c r="J63" s="3620"/>
      <c r="L63" s="716">
        <f>'Part VII-Pro Forma'!K67</f>
        <v>1971706.5968675392</v>
      </c>
      <c r="M63" s="3624" t="s">
        <v>3522</v>
      </c>
      <c r="N63" s="3625"/>
    </row>
    <row r="64" spans="1:17" ht="6" customHeight="1">
      <c r="A64" s="704"/>
    </row>
    <row r="65" spans="1:10" ht="15">
      <c r="A65" s="704" t="s">
        <v>2974</v>
      </c>
    </row>
    <row r="66" spans="1:10" ht="66.75" customHeight="1">
      <c r="A66" s="3620" t="s">
        <v>2975</v>
      </c>
      <c r="B66" s="3620"/>
      <c r="C66" s="3620"/>
      <c r="D66" s="3620"/>
      <c r="E66" s="3620"/>
      <c r="F66" s="3620"/>
      <c r="G66" s="3620"/>
      <c r="H66" s="3620"/>
      <c r="I66" s="3620"/>
      <c r="J66" s="3620"/>
    </row>
    <row r="67" spans="1:10" ht="36" customHeight="1">
      <c r="A67" s="3620" t="s">
        <v>2976</v>
      </c>
      <c r="B67" s="3620"/>
      <c r="C67" s="3620"/>
      <c r="D67" s="3620"/>
      <c r="E67" s="3620"/>
      <c r="F67" s="3620"/>
      <c r="G67" s="3620"/>
      <c r="H67" s="3620"/>
      <c r="I67" s="3620"/>
      <c r="J67" s="3620"/>
    </row>
    <row r="68" spans="1:10" ht="6" customHeight="1">
      <c r="A68" s="704"/>
    </row>
    <row r="69" spans="1:10" ht="15">
      <c r="A69" s="704" t="s">
        <v>2977</v>
      </c>
    </row>
    <row r="70" spans="1:10" ht="105.75" customHeight="1">
      <c r="A70" s="3601" t="s">
        <v>2978</v>
      </c>
      <c r="B70" s="3601"/>
      <c r="C70" s="3601"/>
      <c r="D70" s="3601"/>
      <c r="E70" s="3601"/>
      <c r="F70" s="3601"/>
      <c r="G70" s="3601"/>
      <c r="H70" s="3601"/>
      <c r="I70" s="3601"/>
      <c r="J70" s="3601"/>
    </row>
    <row r="71" spans="1:10" ht="6" customHeight="1">
      <c r="A71" s="704"/>
    </row>
    <row r="72" spans="1:10" ht="15">
      <c r="A72" s="704" t="s">
        <v>2979</v>
      </c>
    </row>
    <row r="73" spans="1:10" ht="66" customHeight="1">
      <c r="A73" s="3601" t="s">
        <v>2980</v>
      </c>
      <c r="B73" s="3601"/>
      <c r="C73" s="3601"/>
      <c r="D73" s="3601"/>
      <c r="E73" s="3601"/>
      <c r="F73" s="3601"/>
      <c r="G73" s="3601"/>
      <c r="H73" s="3601"/>
      <c r="I73" s="3601"/>
      <c r="J73" s="3601"/>
    </row>
    <row r="74" spans="1:10" s="1464" customFormat="1" ht="6" customHeight="1">
      <c r="A74" s="3601"/>
      <c r="B74" s="3601"/>
      <c r="C74" s="3601"/>
      <c r="D74" s="3601"/>
      <c r="E74" s="3601"/>
      <c r="F74" s="3601"/>
      <c r="G74" s="3601"/>
      <c r="H74" s="3601"/>
      <c r="I74" s="3601"/>
      <c r="J74" s="3601"/>
    </row>
    <row r="75" spans="1:10" ht="16.5" customHeight="1">
      <c r="A75" s="1466" t="s">
        <v>2981</v>
      </c>
      <c r="B75" s="703"/>
      <c r="C75" s="703"/>
      <c r="D75" s="1467"/>
      <c r="E75" s="703"/>
      <c r="F75" s="703"/>
      <c r="G75" s="703"/>
      <c r="H75" s="703"/>
      <c r="I75" s="703"/>
      <c r="J75" s="717"/>
    </row>
    <row r="76" spans="1:10" s="1464" customFormat="1" ht="63" customHeight="1">
      <c r="A76" s="3601" t="s">
        <v>4521</v>
      </c>
      <c r="B76" s="3601"/>
      <c r="C76" s="3601"/>
      <c r="D76" s="3601"/>
      <c r="E76" s="3601"/>
      <c r="F76" s="3601"/>
      <c r="G76" s="3601"/>
      <c r="H76" s="3601"/>
      <c r="I76" s="3601"/>
      <c r="J76" s="3601"/>
    </row>
    <row r="77" spans="1:10" s="1464" customFormat="1" ht="6" customHeight="1">
      <c r="A77" s="1457"/>
      <c r="B77" s="1457"/>
      <c r="C77" s="1457"/>
      <c r="D77" s="1457"/>
      <c r="E77" s="1457"/>
      <c r="F77" s="1457"/>
      <c r="G77" s="1457"/>
      <c r="H77" s="1457"/>
      <c r="I77" s="1457"/>
      <c r="J77" s="1457"/>
    </row>
    <row r="78" spans="1:10" ht="16.5" customHeight="1">
      <c r="A78" s="3627" t="s">
        <v>2982</v>
      </c>
      <c r="B78" s="3628"/>
      <c r="C78" s="3628"/>
      <c r="D78" s="703"/>
      <c r="E78" s="703"/>
      <c r="F78" s="703"/>
      <c r="G78" s="703"/>
      <c r="H78" s="703"/>
      <c r="I78" s="703"/>
      <c r="J78" s="717"/>
    </row>
    <row r="79" spans="1:10" ht="41.25" customHeight="1">
      <c r="A79" s="3620" t="s">
        <v>4310</v>
      </c>
      <c r="B79" s="3629"/>
      <c r="C79" s="3629"/>
      <c r="D79" s="3629"/>
      <c r="E79" s="3629"/>
      <c r="F79" s="3629"/>
      <c r="G79" s="3629"/>
      <c r="H79" s="3629"/>
      <c r="I79" s="3629"/>
      <c r="J79" s="3629"/>
    </row>
    <row r="80" spans="1:10" ht="6" customHeight="1">
      <c r="A80" s="718"/>
      <c r="B80" s="703"/>
      <c r="C80" s="703"/>
      <c r="D80" s="703"/>
      <c r="E80" s="703"/>
      <c r="F80" s="703"/>
      <c r="G80" s="703"/>
      <c r="H80" s="703"/>
      <c r="I80" s="703"/>
      <c r="J80" s="717"/>
    </row>
    <row r="81" spans="1:15" ht="15">
      <c r="A81" s="704" t="s">
        <v>2983</v>
      </c>
    </row>
    <row r="82" spans="1:15" ht="139.5" customHeight="1">
      <c r="A82" s="3620" t="s">
        <v>2984</v>
      </c>
      <c r="B82" s="3620"/>
      <c r="C82" s="3620"/>
      <c r="D82" s="3620"/>
      <c r="E82" s="3620"/>
      <c r="F82" s="3620"/>
      <c r="G82" s="3620"/>
      <c r="H82" s="3620"/>
      <c r="I82" s="3620"/>
      <c r="J82" s="3620"/>
      <c r="L82" s="3630" t="s">
        <v>2985</v>
      </c>
      <c r="M82" s="3630"/>
      <c r="N82" s="3630"/>
    </row>
    <row r="83" spans="1:15" ht="6" customHeight="1">
      <c r="A83" s="1465"/>
      <c r="B83" s="1465"/>
      <c r="C83" s="1465"/>
      <c r="D83" s="1465"/>
      <c r="E83" s="1465"/>
      <c r="F83" s="1465"/>
      <c r="G83" s="1465"/>
      <c r="H83" s="1465"/>
      <c r="I83" s="1465"/>
      <c r="J83" s="1465"/>
      <c r="L83" s="1468"/>
      <c r="M83" s="1468"/>
      <c r="N83" s="1468"/>
    </row>
    <row r="84" spans="1:15" ht="17.25" customHeight="1">
      <c r="A84" s="704" t="s">
        <v>2986</v>
      </c>
    </row>
    <row r="85" spans="1:15" ht="111" customHeight="1">
      <c r="A85" s="3620" t="s">
        <v>2987</v>
      </c>
      <c r="B85" s="3620"/>
      <c r="C85" s="3620"/>
      <c r="D85" s="3620"/>
      <c r="E85" s="3620"/>
      <c r="F85" s="3620"/>
      <c r="G85" s="3620"/>
      <c r="H85" s="3620"/>
      <c r="I85" s="3620"/>
      <c r="J85" s="3620"/>
      <c r="L85" s="3630" t="s">
        <v>2988</v>
      </c>
      <c r="M85" s="3630"/>
      <c r="N85" s="719" t="e">
        <f>'After-Tax Analysis'!G66</f>
        <v>#VALUE!</v>
      </c>
      <c r="O85" s="720" t="s">
        <v>2989</v>
      </c>
    </row>
    <row r="86" spans="1:15" ht="6" customHeight="1">
      <c r="A86" s="704"/>
    </row>
    <row r="87" spans="1:15" ht="15">
      <c r="A87" s="704" t="s">
        <v>2990</v>
      </c>
    </row>
    <row r="88" spans="1:15" ht="118.5" customHeight="1">
      <c r="A88" s="3601" t="s">
        <v>2991</v>
      </c>
      <c r="B88" s="3601"/>
      <c r="C88" s="3601"/>
      <c r="D88" s="3601"/>
      <c r="E88" s="3601"/>
      <c r="F88" s="3601"/>
      <c r="G88" s="3601"/>
      <c r="H88" s="3601"/>
      <c r="I88" s="3601"/>
      <c r="J88" s="3601"/>
    </row>
    <row r="89" spans="1:15" ht="20.25" customHeight="1">
      <c r="A89" s="3602" t="s">
        <v>2992</v>
      </c>
      <c r="B89" s="3602"/>
      <c r="C89" s="3602"/>
      <c r="D89" s="3601"/>
      <c r="E89" s="1457"/>
      <c r="F89" s="1457"/>
      <c r="G89" s="1457"/>
      <c r="H89" s="1457"/>
      <c r="I89" s="1457"/>
      <c r="J89" s="1457"/>
    </row>
    <row r="90" spans="1:15" ht="109.5" customHeight="1">
      <c r="A90" s="3618" t="s">
        <v>2993</v>
      </c>
      <c r="B90" s="3619"/>
      <c r="C90" s="3619"/>
      <c r="D90" s="3619"/>
      <c r="E90" s="3619"/>
      <c r="F90" s="3619"/>
      <c r="G90" s="3619"/>
      <c r="H90" s="3619"/>
      <c r="I90" s="3619"/>
      <c r="J90" s="3619"/>
    </row>
    <row r="91" spans="1:15" ht="11.25" customHeight="1">
      <c r="A91" s="704"/>
    </row>
    <row r="92" spans="1:15" ht="15">
      <c r="A92" s="704" t="s">
        <v>2994</v>
      </c>
    </row>
    <row r="93" spans="1:15" ht="122.25" customHeight="1">
      <c r="A93" s="3623" t="s">
        <v>2995</v>
      </c>
      <c r="B93" s="3623"/>
      <c r="C93" s="3623"/>
      <c r="D93" s="3623"/>
      <c r="E93" s="3623"/>
      <c r="F93" s="3623"/>
      <c r="G93" s="3623"/>
      <c r="H93" s="3623"/>
      <c r="I93" s="3623"/>
      <c r="J93" s="3623"/>
      <c r="L93" s="1395">
        <f>'Part VII-Pro Forma'!K67</f>
        <v>1971706.5968675392</v>
      </c>
      <c r="M93" s="3626" t="s">
        <v>2996</v>
      </c>
      <c r="N93" s="3626"/>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2" t="s">
        <v>2997</v>
      </c>
      <c r="B97" s="3602"/>
      <c r="C97" s="3602"/>
      <c r="D97" s="1457"/>
      <c r="E97" s="1457"/>
      <c r="F97" s="1457"/>
      <c r="G97" s="1457"/>
      <c r="H97" s="1457"/>
      <c r="I97" s="1457"/>
      <c r="J97" s="717"/>
    </row>
    <row r="98" spans="1:10" ht="37.5" customHeight="1">
      <c r="A98" s="3620" t="s">
        <v>2998</v>
      </c>
      <c r="B98" s="3620"/>
      <c r="C98" s="3620"/>
      <c r="D98" s="3620"/>
      <c r="E98" s="3620"/>
      <c r="F98" s="3620"/>
      <c r="G98" s="3620"/>
      <c r="H98" s="3620"/>
      <c r="I98" s="3620"/>
      <c r="J98" s="3620"/>
    </row>
    <row r="99" spans="1:10" ht="6" customHeight="1">
      <c r="A99" s="704"/>
    </row>
    <row r="100" spans="1:10" ht="15">
      <c r="A100" s="704" t="s">
        <v>2999</v>
      </c>
    </row>
    <row r="101" spans="1:10" ht="43.5" customHeight="1">
      <c r="A101" s="3601" t="s">
        <v>3000</v>
      </c>
      <c r="B101" s="3601"/>
      <c r="C101" s="3601"/>
      <c r="D101" s="3601"/>
      <c r="E101" s="3601"/>
      <c r="F101" s="3601"/>
      <c r="G101" s="3601"/>
      <c r="H101" s="3601"/>
      <c r="I101" s="3601"/>
      <c r="J101" s="3601"/>
    </row>
    <row r="102" spans="1:10" ht="6" customHeight="1">
      <c r="A102" s="1457"/>
      <c r="B102" s="1457"/>
      <c r="C102" s="1457"/>
      <c r="D102" s="1457"/>
      <c r="E102" s="1457"/>
      <c r="F102" s="1457"/>
      <c r="G102" s="1457"/>
      <c r="H102" s="1457"/>
      <c r="I102" s="1457"/>
      <c r="J102" s="1457"/>
    </row>
    <row r="103" spans="1:10" ht="15">
      <c r="A103" s="704" t="s">
        <v>3001</v>
      </c>
    </row>
    <row r="105" spans="1:10">
      <c r="A105" s="3621" t="s">
        <v>3002</v>
      </c>
      <c r="B105" s="3621"/>
      <c r="C105" s="3621"/>
      <c r="D105" s="3621"/>
      <c r="E105" s="3621"/>
      <c r="F105" s="3621"/>
      <c r="G105" s="3621"/>
      <c r="H105" s="3621"/>
      <c r="I105" s="3621"/>
      <c r="J105" s="3621"/>
    </row>
    <row r="107" spans="1:10" ht="15" thickBot="1">
      <c r="A107" s="721"/>
      <c r="B107" s="698" t="s">
        <v>3003</v>
      </c>
    </row>
    <row r="110" spans="1:10" ht="15" thickBot="1">
      <c r="A110" s="721"/>
      <c r="B110" s="698" t="s">
        <v>3004</v>
      </c>
    </row>
    <row r="112" spans="1:10">
      <c r="A112" s="698" t="s">
        <v>3005</v>
      </c>
    </row>
    <row r="115" spans="1:10" ht="15" thickBot="1">
      <c r="A115" s="721"/>
      <c r="B115" s="721"/>
      <c r="C115" s="721"/>
      <c r="D115" s="721"/>
      <c r="E115" s="721"/>
      <c r="H115" s="721"/>
      <c r="I115" s="721"/>
      <c r="J115" s="721"/>
    </row>
    <row r="116" spans="1:10">
      <c r="A116" s="3617" t="s">
        <v>4311</v>
      </c>
      <c r="B116" s="3617"/>
      <c r="C116" s="3617"/>
      <c r="D116" s="3617"/>
      <c r="E116" s="3617"/>
      <c r="H116" s="3617" t="s">
        <v>3006</v>
      </c>
      <c r="I116" s="3617"/>
      <c r="J116" s="3617"/>
    </row>
    <row r="118" spans="1:10" ht="15" thickBot="1">
      <c r="A118" s="698" t="s">
        <v>3007</v>
      </c>
      <c r="B118" s="721"/>
      <c r="C118" s="721"/>
      <c r="H118" s="698" t="s">
        <v>3007</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3068</v>
      </c>
      <c r="B1" s="783"/>
      <c r="C1" s="698" t="str">
        <f>Overview!C8</f>
        <v>Grayling Place</v>
      </c>
    </row>
    <row r="2" spans="1:15" ht="13.5" customHeight="1"/>
    <row r="3" spans="1:15" ht="13.5" customHeight="1">
      <c r="A3" s="699" t="s">
        <v>3069</v>
      </c>
      <c r="C3" s="698" t="s">
        <v>3070</v>
      </c>
      <c r="E3" s="784">
        <f>SUM('Part IV-A-Uses of Funds'!J149,'Part IV-A-Uses of Funds'!M149,'Part IV-A-Uses of Funds'!P149)</f>
        <v>12874501</v>
      </c>
      <c r="F3" s="1467" t="s">
        <v>3071</v>
      </c>
      <c r="H3" s="1440">
        <v>27.5</v>
      </c>
      <c r="I3" s="698" t="s">
        <v>2486</v>
      </c>
      <c r="K3" s="703" t="s">
        <v>3092</v>
      </c>
      <c r="M3" s="1467"/>
      <c r="O3" s="785"/>
    </row>
    <row r="4" spans="1:15" ht="13.5" customHeight="1">
      <c r="C4" s="698" t="s">
        <v>3580</v>
      </c>
      <c r="E4" s="784">
        <f>SUM('Part IV-A-Uses of Funds'!G85:H89)</f>
        <v>77000</v>
      </c>
      <c r="F4" s="1467" t="s">
        <v>4523</v>
      </c>
      <c r="H4" s="699">
        <f>'Part III-Sources of Funds'!M37</f>
        <v>35</v>
      </c>
      <c r="I4" s="698" t="s">
        <v>2486</v>
      </c>
      <c r="K4" s="786" t="s">
        <v>3337</v>
      </c>
      <c r="M4" s="1467"/>
    </row>
    <row r="5" spans="1:15" ht="13.5" customHeight="1">
      <c r="C5" s="698" t="s">
        <v>3581</v>
      </c>
      <c r="E5" s="784">
        <f>SUM('Part IV-A-Uses of Funds'!G96:H102)</f>
        <v>153566</v>
      </c>
      <c r="F5" s="1467" t="s">
        <v>4522</v>
      </c>
      <c r="H5" s="1440">
        <v>15</v>
      </c>
      <c r="I5" s="698" t="s">
        <v>2486</v>
      </c>
      <c r="K5" s="785">
        <f>-E6</f>
        <v>-12741004</v>
      </c>
    </row>
    <row r="6" spans="1:15" ht="13.5" customHeight="1">
      <c r="C6" s="698" t="s">
        <v>3072</v>
      </c>
      <c r="E6" s="787">
        <f>'Part III-Sources of Funds'!$I$49+'Part III-Sources of Funds'!$I$50</f>
        <v>12741004</v>
      </c>
      <c r="F6" s="1467" t="s">
        <v>3073</v>
      </c>
      <c r="H6" s="788">
        <v>0.35</v>
      </c>
      <c r="K6" s="785" t="e">
        <f>C24</f>
        <v>#VALUE!</v>
      </c>
      <c r="M6" s="698" t="s">
        <v>3074</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3075</v>
      </c>
      <c r="O8" s="1401" t="e">
        <f>'Part VII-Pro Forma'!$K$67+'Part VII-Pro Forma'!$K$68+'Part VII-Pro Forma'!$K$69</f>
        <v>#VALUE!</v>
      </c>
    </row>
    <row r="9" spans="1:15" ht="13.5" customHeight="1">
      <c r="A9" s="698" t="s">
        <v>3076</v>
      </c>
      <c r="C9" s="792">
        <f>'Part VII-Pro Forma'!B30</f>
        <v>1087.6194798611104</v>
      </c>
      <c r="D9" s="792">
        <f>'Part VII-Pro Forma'!C30</f>
        <v>2383.5290798610658</v>
      </c>
      <c r="E9" s="792">
        <f>'Part VII-Pro Forma'!D30</f>
        <v>3606.9110718611773</v>
      </c>
      <c r="F9" s="792">
        <f>'Part VII-Pro Forma'!E30</f>
        <v>4752.7277297011751</v>
      </c>
      <c r="G9" s="792">
        <f>'Part VII-Pro Forma'!F30</f>
        <v>5816.7715574779868</v>
      </c>
      <c r="H9" s="792">
        <f>'Part VII-Pro Forma'!G30</f>
        <v>6793.659223693794</v>
      </c>
      <c r="I9" s="792">
        <f>'Part VII-Pro Forma'!H30</f>
        <v>7678.8252939736412</v>
      </c>
      <c r="K9" s="785" t="e">
        <f>F24</f>
        <v>#VALUE!</v>
      </c>
      <c r="N9" s="793" t="s">
        <v>3078</v>
      </c>
    </row>
    <row r="10" spans="1:15" ht="13.5" customHeight="1">
      <c r="A10" s="698" t="s">
        <v>3077</v>
      </c>
      <c r="C10" s="1398">
        <f>'Part III-Sources of Funds'!I37-'Part VII-Pro Forma'!B37</f>
        <v>29050.93064582115</v>
      </c>
      <c r="D10" s="794">
        <f>'Part VII-Pro Forma'!B37-'Part VII-Pro Forma'!C37</f>
        <v>30689.631485760212</v>
      </c>
      <c r="E10" s="794">
        <f>'Part VII-Pro Forma'!C37-'Part VII-Pro Forma'!D37</f>
        <v>32420.767933892552</v>
      </c>
      <c r="F10" s="794">
        <f>'Part VII-Pro Forma'!D37-'Part VII-Pro Forma'!E37</f>
        <v>34249.554085099604</v>
      </c>
      <c r="G10" s="794">
        <f>'Part VII-Pro Forma'!E37-'Part VII-Pro Forma'!F37</f>
        <v>36181.49815019872</v>
      </c>
      <c r="H10" s="794">
        <f>'Part VII-Pro Forma'!F37-'Part VII-Pro Forma'!G37</f>
        <v>38222.419046394527</v>
      </c>
      <c r="I10" s="794">
        <f>'Part VII-Pro Forma'!G37-'Part VII-Pro Forma'!H37</f>
        <v>40378.463923560921</v>
      </c>
      <c r="K10" s="785" t="e">
        <f>G24</f>
        <v>#VALUE!</v>
      </c>
      <c r="N10" s="793" t="s">
        <v>3079</v>
      </c>
      <c r="O10" s="790"/>
    </row>
    <row r="11" spans="1:15" ht="13.5" customHeight="1">
      <c r="A11" s="698" t="s">
        <v>3077</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3077</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3081</v>
      </c>
      <c r="N12" s="795">
        <v>0.06</v>
      </c>
      <c r="O12" s="790">
        <f>N12*O6</f>
        <v>0</v>
      </c>
    </row>
    <row r="13" spans="1:15" ht="13.5" customHeight="1">
      <c r="A13" s="796" t="s">
        <v>3583</v>
      </c>
      <c r="B13" s="797"/>
      <c r="C13" s="1399">
        <f>'Part VII-Pro Forma'!B21</f>
        <v>-21000</v>
      </c>
      <c r="D13" s="1399">
        <f>'Part VII-Pro Forma'!C21</f>
        <v>-21630</v>
      </c>
      <c r="E13" s="1399">
        <f>'Part VII-Pro Forma'!D21</f>
        <v>-22278.899999999998</v>
      </c>
      <c r="F13" s="1399">
        <f>'Part VII-Pro Forma'!E21</f>
        <v>-22947.267</v>
      </c>
      <c r="G13" s="1399">
        <f>'Part VII-Pro Forma'!F21</f>
        <v>-23635.685009999997</v>
      </c>
      <c r="H13" s="1399">
        <f>'Part VII-Pro Forma'!G21</f>
        <v>-24344.755560299996</v>
      </c>
      <c r="I13" s="1399">
        <f>'Part VII-Pro Forma'!H21</f>
        <v>-25075.098227109</v>
      </c>
      <c r="K13" s="785" t="e">
        <f>C44</f>
        <v>#VALUE!</v>
      </c>
      <c r="O13" s="790"/>
    </row>
    <row r="14" spans="1:15" ht="13.5" customHeight="1">
      <c r="A14" s="796" t="s">
        <v>3584</v>
      </c>
      <c r="B14" s="797"/>
      <c r="C14" s="1399">
        <f>'Part VII-Pro Forma'!B29</f>
        <v>-35237</v>
      </c>
      <c r="D14" s="1399">
        <f>'Part VII-Pro Forma'!C29</f>
        <v>-35237</v>
      </c>
      <c r="E14" s="1399">
        <f>'Part VII-Pro Forma'!D29</f>
        <v>-35237</v>
      </c>
      <c r="F14" s="1399">
        <f>'Part VII-Pro Forma'!E29</f>
        <v>-35237</v>
      </c>
      <c r="G14" s="1399">
        <f>'Part VII-Pro Forma'!F29</f>
        <v>-35237</v>
      </c>
      <c r="H14" s="1399">
        <f>'Part VII-Pro Forma'!G29</f>
        <v>-35237</v>
      </c>
      <c r="I14" s="1399">
        <f>'Part VII-Pro Forma'!H29</f>
        <v>-35237</v>
      </c>
      <c r="K14" s="785" t="e">
        <f>D44</f>
        <v>#VALUE!</v>
      </c>
      <c r="M14" s="698" t="s">
        <v>3084</v>
      </c>
      <c r="O14" s="790" t="e">
        <f>O6-O8-O12</f>
        <v>#VALUE!</v>
      </c>
    </row>
    <row r="15" spans="1:15" ht="13.5" customHeight="1">
      <c r="A15" s="798" t="s">
        <v>3080</v>
      </c>
      <c r="C15" s="799">
        <f t="shared" ref="C15:I15" si="0">$E$3/$H$3</f>
        <v>468163.67272727273</v>
      </c>
      <c r="D15" s="799">
        <f t="shared" si="0"/>
        <v>468163.67272727273</v>
      </c>
      <c r="E15" s="799">
        <f t="shared" si="0"/>
        <v>468163.67272727273</v>
      </c>
      <c r="F15" s="799">
        <f t="shared" si="0"/>
        <v>468163.67272727273</v>
      </c>
      <c r="G15" s="799">
        <f t="shared" si="0"/>
        <v>468163.67272727273</v>
      </c>
      <c r="H15" s="799">
        <f t="shared" si="0"/>
        <v>468163.67272727273</v>
      </c>
      <c r="I15" s="799">
        <f t="shared" si="0"/>
        <v>468163.67272727273</v>
      </c>
      <c r="K15" s="785" t="e">
        <f>E44</f>
        <v>#VALUE!</v>
      </c>
      <c r="O15" s="790"/>
    </row>
    <row r="16" spans="1:15" ht="13.5" customHeight="1">
      <c r="A16" s="798" t="s">
        <v>3082</v>
      </c>
      <c r="C16" s="799">
        <f>IF(C$8&lt;=$H$4,($E$4/$H$4),0)+IF(C$8&lt;=$H$5,($E$5/$H$5),0)</f>
        <v>12437.733333333334</v>
      </c>
      <c r="D16" s="799">
        <f t="shared" ref="D16:I16" si="1">IF(D$8&lt;=$H$4,($E$4/$H$4),0)+IF(D$8&lt;=$H$5,($E$5/$H$5),0)</f>
        <v>12437.733333333334</v>
      </c>
      <c r="E16" s="799">
        <f t="shared" si="1"/>
        <v>12437.733333333334</v>
      </c>
      <c r="F16" s="799">
        <f t="shared" si="1"/>
        <v>12437.733333333334</v>
      </c>
      <c r="G16" s="799">
        <f t="shared" si="1"/>
        <v>12437.733333333334</v>
      </c>
      <c r="H16" s="799">
        <f t="shared" si="1"/>
        <v>12437.733333333334</v>
      </c>
      <c r="I16" s="799">
        <f t="shared" si="1"/>
        <v>12437.733333333334</v>
      </c>
      <c r="K16" s="785" t="e">
        <f>F44</f>
        <v>#VALUE!</v>
      </c>
      <c r="M16" s="698" t="s">
        <v>3086</v>
      </c>
      <c r="O16" s="790">
        <f>E3</f>
        <v>12874501</v>
      </c>
    </row>
    <row r="17" spans="1:17" ht="13.5" customHeight="1">
      <c r="A17" s="798" t="s">
        <v>3083</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3080</v>
      </c>
      <c r="O17" s="790">
        <f>20*(E3/H3)</f>
        <v>9363273.4545454551</v>
      </c>
    </row>
    <row r="18" spans="1:17" ht="13.5" customHeight="1">
      <c r="A18" s="798" t="s">
        <v>3085</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3090</v>
      </c>
      <c r="O19" s="790">
        <f>O16-O17</f>
        <v>3511227.5454545449</v>
      </c>
    </row>
    <row r="20" spans="1:17" ht="13.5" customHeight="1">
      <c r="A20" s="698" t="s">
        <v>3087</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3088</v>
      </c>
      <c r="C21" s="800">
        <f>'Part IV-A-Uses of Funds'!$J$175</f>
        <v>923320</v>
      </c>
      <c r="D21" s="800">
        <f t="shared" ref="D21:I21" si="5">C21</f>
        <v>923320</v>
      </c>
      <c r="E21" s="800">
        <f t="shared" si="5"/>
        <v>923320</v>
      </c>
      <c r="F21" s="800">
        <f t="shared" si="5"/>
        <v>923320</v>
      </c>
      <c r="G21" s="800">
        <f t="shared" si="5"/>
        <v>923320</v>
      </c>
      <c r="H21" s="800">
        <f t="shared" si="5"/>
        <v>923320</v>
      </c>
      <c r="I21" s="800">
        <f t="shared" si="5"/>
        <v>923320</v>
      </c>
      <c r="J21" s="698" t="s">
        <v>245</v>
      </c>
      <c r="K21" s="785" t="e">
        <f>D64</f>
        <v>#VALUE!</v>
      </c>
      <c r="O21" s="790"/>
    </row>
    <row r="22" spans="1:17" ht="13.5" customHeight="1">
      <c r="A22" s="698" t="s">
        <v>3089</v>
      </c>
      <c r="C22" s="800">
        <f>C21</f>
        <v>923320</v>
      </c>
      <c r="D22" s="800">
        <f t="shared" ref="D22:I22" si="6">D21</f>
        <v>923320</v>
      </c>
      <c r="E22" s="800">
        <f t="shared" si="6"/>
        <v>923320</v>
      </c>
      <c r="F22" s="800">
        <f t="shared" si="6"/>
        <v>923320</v>
      </c>
      <c r="G22" s="800">
        <f t="shared" si="6"/>
        <v>923320</v>
      </c>
      <c r="H22" s="800">
        <f t="shared" si="6"/>
        <v>923320</v>
      </c>
      <c r="I22" s="800">
        <f t="shared" si="6"/>
        <v>923320</v>
      </c>
      <c r="K22" s="785" t="e">
        <f>E64</f>
        <v>#VALUE!</v>
      </c>
      <c r="M22" s="698" t="s">
        <v>3074</v>
      </c>
      <c r="O22" s="790">
        <f>O6</f>
        <v>0</v>
      </c>
    </row>
    <row r="23" spans="1:17" ht="13.5" customHeight="1">
      <c r="A23" s="698" t="s">
        <v>3091</v>
      </c>
      <c r="C23" s="792">
        <v>0</v>
      </c>
      <c r="D23" s="792">
        <v>0</v>
      </c>
      <c r="E23" s="792">
        <v>0</v>
      </c>
      <c r="F23" s="792">
        <v>0</v>
      </c>
      <c r="G23" s="792">
        <v>0</v>
      </c>
      <c r="H23" s="792">
        <v>0</v>
      </c>
      <c r="I23" s="792">
        <v>0</v>
      </c>
      <c r="K23" s="785" t="e">
        <f>F64</f>
        <v>#VALUE!</v>
      </c>
      <c r="M23" s="698" t="s">
        <v>3093</v>
      </c>
      <c r="O23" s="790">
        <f>O19</f>
        <v>3511227.5454545449</v>
      </c>
    </row>
    <row r="24" spans="1:17" ht="13.5" customHeight="1">
      <c r="A24" s="698" t="s">
        <v>3092</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3094</v>
      </c>
      <c r="O25" s="790">
        <f>O22-O23</f>
        <v>-3511227.5454545449</v>
      </c>
      <c r="Q25" s="801"/>
    </row>
    <row r="26" spans="1:17" ht="13.5" customHeight="1">
      <c r="A26" s="802"/>
      <c r="B26" s="802"/>
      <c r="C26" s="802"/>
      <c r="D26" s="802"/>
      <c r="E26" s="802"/>
      <c r="F26" s="802"/>
      <c r="G26" s="802"/>
      <c r="H26" s="802"/>
      <c r="I26" s="802"/>
      <c r="K26" s="785"/>
      <c r="O26" s="790"/>
    </row>
    <row r="27" spans="1:17" ht="13.5" customHeight="1">
      <c r="K27" s="785"/>
      <c r="M27" s="698" t="s">
        <v>3095</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3076</v>
      </c>
      <c r="C29" s="792">
        <f>'Part VII-Pro Forma'!I30</f>
        <v>8466.5157559211875</v>
      </c>
      <c r="D29" s="792">
        <f>'Part VII-Pro Forma'!J30</f>
        <v>9152.7813294778316</v>
      </c>
      <c r="E29" s="792">
        <f>'Part VII-Pro Forma'!K30</f>
        <v>9730.4705559465947</v>
      </c>
      <c r="F29" s="792">
        <f>'Part VII-Pro Forma'!B60</f>
        <v>10195.22265862902</v>
      </c>
      <c r="G29" s="792">
        <f>'Part VII-Pro Forma'!C60</f>
        <v>10539.4601677998</v>
      </c>
      <c r="H29" s="792">
        <f>'Part VII-Pro Forma'!D60</f>
        <v>10757.381302522153</v>
      </c>
      <c r="I29" s="792">
        <f>'Part VII-Pro Forma'!E60</f>
        <v>10843.952101567629</v>
      </c>
      <c r="N29" s="803"/>
      <c r="O29" s="803"/>
    </row>
    <row r="30" spans="1:17" ht="13.5" customHeight="1">
      <c r="A30" s="698" t="s">
        <v>3077</v>
      </c>
      <c r="C30" s="794">
        <f>'Part VII-Pro Forma'!H37-'Part VII-Pro Forma'!I37</f>
        <v>42656.126679143403</v>
      </c>
      <c r="D30" s="794">
        <f>'Part VII-Pro Forma'!I37-'Part VII-Pro Forma'!J37</f>
        <v>45062.267517448403</v>
      </c>
      <c r="E30" s="794">
        <f>'Part VII-Pro Forma'!J37-'Part VII-Pro Forma'!K37</f>
        <v>47604.133612228092</v>
      </c>
      <c r="F30" s="1396">
        <f>'Part VII-Pro Forma'!K37-'Part VII-Pro Forma'!B67</f>
        <v>50289.380934800953</v>
      </c>
      <c r="G30" s="1396">
        <f>'Part VII-Pro Forma'!B67-'Part VII-Pro Forma'!C67</f>
        <v>53126.097313446458</v>
      </c>
      <c r="H30" s="1396">
        <f>'Part VII-Pro Forma'!C67-'Part VII-Pro Forma'!D67</f>
        <v>56122.826793531887</v>
      </c>
      <c r="I30" s="1396">
        <f>'Part VII-Pro Forma'!D67-'Part VII-Pro Forma'!E67</f>
        <v>59288.595371742733</v>
      </c>
    </row>
    <row r="31" spans="1:17" ht="13.5" customHeight="1">
      <c r="A31" s="698" t="s">
        <v>3077</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3096</v>
      </c>
      <c r="O31" s="792">
        <f>O25*O27</f>
        <v>-702245.50909090904</v>
      </c>
    </row>
    <row r="32" spans="1:17" ht="13.5" customHeight="1">
      <c r="A32" s="698" t="s">
        <v>3077</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-25827.35117392227</v>
      </c>
      <c r="D33" s="1399">
        <f>'Part VII-Pro Forma'!J21</f>
        <v>-26602.171709139933</v>
      </c>
      <c r="E33" s="1399">
        <f>'Part VII-Pro Forma'!K21</f>
        <v>-27400.236860414134</v>
      </c>
      <c r="F33" s="1399">
        <f>'Part VII-Pro Forma'!B51</f>
        <v>-28222.243966226557</v>
      </c>
      <c r="G33" s="1399">
        <f>'Part VII-Pro Forma'!C51</f>
        <v>-29068.911285213355</v>
      </c>
      <c r="H33" s="1399">
        <f>'Part VII-Pro Forma'!D51</f>
        <v>-29940.978623769752</v>
      </c>
      <c r="I33" s="1399">
        <f>'Part VII-Pro Forma'!E51</f>
        <v>-30839.207982482843</v>
      </c>
      <c r="K33" s="698" t="s">
        <v>245</v>
      </c>
      <c r="M33" s="698" t="s">
        <v>3097</v>
      </c>
      <c r="O33" s="792" t="e">
        <f>O14-O31</f>
        <v>#VALUE!</v>
      </c>
    </row>
    <row r="34" spans="1:15" ht="13.5" customHeight="1">
      <c r="A34" s="796" t="s">
        <v>3584</v>
      </c>
      <c r="B34" s="797"/>
      <c r="C34" s="1399">
        <f>'Part VII-Pro Forma'!I29</f>
        <v>-35237</v>
      </c>
      <c r="D34" s="1399">
        <f>'Part VII-Pro Forma'!J29</f>
        <v>-35237</v>
      </c>
      <c r="E34" s="1399">
        <f>'Part VII-Pro Forma'!K29</f>
        <v>-35237</v>
      </c>
      <c r="F34" s="1399">
        <f>'Part VII-Pro Forma'!B59</f>
        <v>-35237</v>
      </c>
      <c r="G34" s="1399">
        <f>'Part VII-Pro Forma'!C59</f>
        <v>-35237</v>
      </c>
      <c r="H34" s="1399">
        <f>'Part VII-Pro Forma'!D59</f>
        <v>-35237</v>
      </c>
      <c r="I34" s="1399">
        <f>'Part VII-Pro Forma'!E59</f>
        <v>-35237</v>
      </c>
    </row>
    <row r="35" spans="1:15" ht="13.5" customHeight="1">
      <c r="A35" s="798" t="s">
        <v>3080</v>
      </c>
      <c r="C35" s="799">
        <f t="shared" ref="C35:I35" si="8">$E$3/$H$3</f>
        <v>468163.67272727273</v>
      </c>
      <c r="D35" s="799">
        <f t="shared" si="8"/>
        <v>468163.67272727273</v>
      </c>
      <c r="E35" s="799">
        <f t="shared" si="8"/>
        <v>468163.67272727273</v>
      </c>
      <c r="F35" s="799">
        <f t="shared" si="8"/>
        <v>468163.67272727273</v>
      </c>
      <c r="G35" s="799">
        <f t="shared" si="8"/>
        <v>468163.67272727273</v>
      </c>
      <c r="H35" s="799">
        <f t="shared" si="8"/>
        <v>468163.67272727273</v>
      </c>
      <c r="I35" s="799">
        <f t="shared" si="8"/>
        <v>468163.67272727273</v>
      </c>
    </row>
    <row r="36" spans="1:15" ht="13.5" customHeight="1">
      <c r="A36" s="798" t="s">
        <v>3082</v>
      </c>
      <c r="C36" s="792">
        <f>IF(C$28&lt;=$H$4,($E$4/$H$4),0)+IF(C$28&lt;=$H$5,($E$5/$H$5),0)</f>
        <v>12437.733333333334</v>
      </c>
      <c r="D36" s="792">
        <f t="shared" ref="D36:I36" si="9">IF(D$28&lt;=$H$4,($E$4/$H$4),0)+IF(D$28&lt;=$H$5,($E$5/$H$5),0)</f>
        <v>12437.733333333334</v>
      </c>
      <c r="E36" s="792">
        <f t="shared" si="9"/>
        <v>12437.733333333334</v>
      </c>
      <c r="F36" s="792">
        <f t="shared" si="9"/>
        <v>12437.733333333334</v>
      </c>
      <c r="G36" s="792">
        <f t="shared" si="9"/>
        <v>12437.733333333334</v>
      </c>
      <c r="H36" s="792">
        <f t="shared" si="9"/>
        <v>12437.733333333334</v>
      </c>
      <c r="I36" s="792">
        <f t="shared" si="9"/>
        <v>12437.733333333334</v>
      </c>
    </row>
    <row r="37" spans="1:15" ht="13.5" customHeight="1">
      <c r="A37" s="798" t="s">
        <v>3083</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3085</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3087</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3088</v>
      </c>
      <c r="C41" s="800">
        <f>C21</f>
        <v>923320</v>
      </c>
      <c r="D41" s="800">
        <f>C41</f>
        <v>923320</v>
      </c>
      <c r="E41" s="800">
        <f>D41</f>
        <v>923320</v>
      </c>
      <c r="F41" s="800">
        <v>0</v>
      </c>
      <c r="G41" s="800">
        <v>0</v>
      </c>
      <c r="H41" s="800">
        <v>0</v>
      </c>
      <c r="I41" s="800">
        <v>0</v>
      </c>
    </row>
    <row r="42" spans="1:15" ht="13.5" customHeight="1">
      <c r="A42" s="698" t="s">
        <v>3089</v>
      </c>
      <c r="C42" s="800">
        <f>C22</f>
        <v>923320</v>
      </c>
      <c r="D42" s="800">
        <f>C42</f>
        <v>923320</v>
      </c>
      <c r="E42" s="800">
        <f>D42</f>
        <v>923320</v>
      </c>
      <c r="F42" s="800">
        <v>0</v>
      </c>
      <c r="G42" s="800">
        <v>0</v>
      </c>
      <c r="H42" s="800">
        <v>0</v>
      </c>
      <c r="I42" s="800">
        <v>0</v>
      </c>
    </row>
    <row r="43" spans="1:15" ht="13.5" customHeight="1">
      <c r="A43" s="698" t="s">
        <v>3091</v>
      </c>
      <c r="C43" s="794">
        <v>0</v>
      </c>
      <c r="D43" s="794">
        <v>0</v>
      </c>
      <c r="E43" s="794">
        <v>0</v>
      </c>
      <c r="F43" s="794">
        <v>0</v>
      </c>
      <c r="G43" s="794">
        <v>0</v>
      </c>
      <c r="H43" s="794">
        <v>0</v>
      </c>
      <c r="I43" s="794">
        <v>0</v>
      </c>
    </row>
    <row r="44" spans="1:15" ht="13.5" customHeight="1">
      <c r="A44" s="698" t="s">
        <v>3092</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3076</v>
      </c>
      <c r="C49" s="792">
        <f>'Part VII-Pro Forma'!F60</f>
        <v>46026.898295471932</v>
      </c>
      <c r="D49" s="792">
        <f>'Part VII-Pro Forma'!G57</f>
        <v>0</v>
      </c>
      <c r="E49" s="792">
        <f>'Part VII-Pro Forma'!H57</f>
        <v>0</v>
      </c>
      <c r="F49" s="792">
        <f>'Part VII-Pro Forma'!I57</f>
        <v>0</v>
      </c>
      <c r="G49" s="792">
        <f>'Part VII-Pro Forma'!J57</f>
        <v>0</v>
      </c>
      <c r="H49" s="792">
        <f>'Part VII-Pro Forma'!K57</f>
        <v>0</v>
      </c>
    </row>
    <row r="50" spans="1:10" ht="13.5" customHeight="1">
      <c r="A50" s="698" t="s">
        <v>3077</v>
      </c>
      <c r="C50" s="1397">
        <f>'Part VII-Pro Forma'!E67-'Part VII-Pro Forma'!F67</f>
        <v>62632.938181926496</v>
      </c>
      <c r="D50" s="1397">
        <f>'Part VII-Pro Forma'!F67-'Part VII-Pro Forma'!G67</f>
        <v>66165.928214428481</v>
      </c>
      <c r="E50" s="1397">
        <f>'Part VII-Pro Forma'!G67-'Part VII-Pro Forma'!H67</f>
        <v>69898.206655427348</v>
      </c>
      <c r="F50" s="1397">
        <f>'Part VII-Pro Forma'!H67-'Part VII-Pro Forma'!I67</f>
        <v>73841.014937646221</v>
      </c>
      <c r="G50" s="1397">
        <f>'Part VII-Pro Forma'!I67-'Part VII-Pro Forma'!J67</f>
        <v>78006.228598974878</v>
      </c>
      <c r="H50" s="1397">
        <f>'Part VII-Pro Forma'!J67-'Part VII-Pro Forma'!K67</f>
        <v>82406.393050987739</v>
      </c>
    </row>
    <row r="51" spans="1:10" ht="13.5" customHeight="1">
      <c r="A51" s="698" t="s">
        <v>3077</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3077</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-31764.384221957331</v>
      </c>
      <c r="D53" s="1399">
        <f>'Part VII-Pro Forma'!G51</f>
        <v>-32717.315748616053</v>
      </c>
      <c r="E53" s="1399">
        <f>'Part VII-Pro Forma'!H51</f>
        <v>-33698.835221074529</v>
      </c>
      <c r="F53" s="1399">
        <f>'Part VII-Pro Forma'!I51</f>
        <v>-34709.800277706767</v>
      </c>
      <c r="G53" s="1399">
        <f>'Part VII-Pro Forma'!J51</f>
        <v>-35751.094286037966</v>
      </c>
      <c r="H53" s="1399">
        <f>'Part VII-Pro Forma'!K51</f>
        <v>-36823.627114619107</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3080</v>
      </c>
      <c r="C55" s="799">
        <f t="shared" ref="C55:H55" si="14">$E$3/$H$3</f>
        <v>468163.67272727273</v>
      </c>
      <c r="D55" s="799">
        <f t="shared" si="14"/>
        <v>468163.67272727273</v>
      </c>
      <c r="E55" s="799">
        <f t="shared" si="14"/>
        <v>468163.67272727273</v>
      </c>
      <c r="F55" s="799">
        <f t="shared" si="14"/>
        <v>468163.67272727273</v>
      </c>
      <c r="G55" s="799">
        <f t="shared" si="14"/>
        <v>468163.67272727273</v>
      </c>
      <c r="H55" s="799">
        <f t="shared" si="14"/>
        <v>468163.67272727273</v>
      </c>
    </row>
    <row r="56" spans="1:10" ht="13.5" customHeight="1">
      <c r="A56" s="798" t="s">
        <v>3082</v>
      </c>
      <c r="C56" s="792">
        <f t="shared" ref="C56:H56" si="15">IF(C$48&lt;=$H$4,($E$4/$H$4),0)+IF(C$48&lt;=$H$5,($E$5/$H$5),0)</f>
        <v>12437.733333333334</v>
      </c>
      <c r="D56" s="792">
        <f t="shared" si="15"/>
        <v>2200</v>
      </c>
      <c r="E56" s="792">
        <f t="shared" si="15"/>
        <v>2200</v>
      </c>
      <c r="F56" s="792">
        <f t="shared" si="15"/>
        <v>2200</v>
      </c>
      <c r="G56" s="792">
        <f t="shared" si="15"/>
        <v>2200</v>
      </c>
      <c r="H56" s="792">
        <f t="shared" si="15"/>
        <v>2200</v>
      </c>
    </row>
    <row r="57" spans="1:10" ht="13.5" customHeight="1">
      <c r="A57" s="798" t="s">
        <v>3083</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3085</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3087</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3088</v>
      </c>
      <c r="C61" s="799">
        <v>0</v>
      </c>
      <c r="D61" s="799">
        <v>0</v>
      </c>
      <c r="E61" s="799">
        <v>0</v>
      </c>
      <c r="F61" s="799">
        <v>0</v>
      </c>
      <c r="G61" s="799">
        <v>0</v>
      </c>
      <c r="H61" s="792">
        <v>0</v>
      </c>
    </row>
    <row r="62" spans="1:10">
      <c r="A62" s="698" t="s">
        <v>3089</v>
      </c>
      <c r="C62" s="799">
        <v>0</v>
      </c>
      <c r="D62" s="792">
        <v>0</v>
      </c>
      <c r="E62" s="792">
        <v>0</v>
      </c>
      <c r="F62" s="792">
        <v>0</v>
      </c>
      <c r="G62" s="792">
        <v>0</v>
      </c>
      <c r="H62" s="792">
        <v>0</v>
      </c>
    </row>
    <row r="63" spans="1:10">
      <c r="A63" s="698" t="s">
        <v>3091</v>
      </c>
      <c r="C63" s="792">
        <v>0</v>
      </c>
      <c r="D63" s="792">
        <v>0</v>
      </c>
      <c r="E63" s="792">
        <v>0</v>
      </c>
      <c r="F63" s="792">
        <v>0</v>
      </c>
      <c r="G63" s="792">
        <v>0</v>
      </c>
      <c r="H63" s="792" t="e">
        <f>O33</f>
        <v>#VALUE!</v>
      </c>
    </row>
    <row r="64" spans="1:10">
      <c r="A64" s="698" t="s">
        <v>3092</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3098</v>
      </c>
      <c r="G66" s="3635" t="e">
        <f>IRR(K5:K25)</f>
        <v>#VALUE!</v>
      </c>
      <c r="H66" s="3636"/>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50" zoomScaleNormal="150" workbookViewId="0">
      <selection activeCell="A5"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598" t="str">
        <f>CONCATENATE("PART ONE - PROJECT INFORMATION"," - ",$O$6," ",$F$34,", ",'Part I-Project Information'!F38,", ",'Part I-Project Information'!J39," County")</f>
        <v>PART ONE - PROJECT INFORMATION - 2018-021 Grayling Place, Columbus, Muscogee County</v>
      </c>
      <c r="B1" s="2599"/>
      <c r="C1" s="2599"/>
      <c r="D1" s="2599"/>
      <c r="E1" s="2599"/>
      <c r="F1" s="2599"/>
      <c r="G1" s="2599"/>
      <c r="H1" s="2599"/>
      <c r="I1" s="2599"/>
      <c r="J1" s="2599"/>
      <c r="K1" s="2599"/>
      <c r="L1" s="2599"/>
      <c r="M1" s="2599"/>
      <c r="N1" s="2599"/>
      <c r="O1" s="2599"/>
      <c r="P1" s="2600"/>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612" t="s">
        <v>4519</v>
      </c>
      <c r="B3" s="2612"/>
      <c r="C3" s="2612"/>
      <c r="D3" s="2612"/>
      <c r="E3" s="2612"/>
      <c r="F3" s="2612"/>
      <c r="G3" s="2612"/>
      <c r="H3" s="2612"/>
      <c r="I3" s="2612"/>
      <c r="J3" s="2612"/>
      <c r="K3" s="2612"/>
      <c r="L3" s="2612"/>
      <c r="M3" s="2612"/>
      <c r="N3" s="2612"/>
      <c r="O3" s="2612"/>
      <c r="P3" s="2612"/>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3900</v>
      </c>
    </row>
    <row r="6" spans="1:16" s="305" customFormat="1" ht="12" customHeight="1" thickBot="1">
      <c r="B6" s="2614" t="s">
        <v>4706</v>
      </c>
      <c r="C6" s="2614"/>
      <c r="D6" s="2614"/>
      <c r="E6" s="1433"/>
      <c r="F6" s="308"/>
      <c r="G6" s="279" t="s">
        <v>446</v>
      </c>
      <c r="H6" s="1569"/>
      <c r="I6" s="1569"/>
      <c r="J6" s="1569"/>
      <c r="O6" s="2601" t="s">
        <v>4747</v>
      </c>
      <c r="P6" s="2602"/>
    </row>
    <row r="7" spans="1:16" s="305" customFormat="1" ht="12" customHeight="1">
      <c r="B7" s="2614"/>
      <c r="C7" s="2614"/>
      <c r="D7" s="2614"/>
      <c r="E7" s="1433"/>
      <c r="F7" s="547"/>
      <c r="G7" s="179" t="s">
        <v>3341</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2392</v>
      </c>
      <c r="D9" s="280"/>
      <c r="E9" s="309"/>
      <c r="F9" s="310" t="s">
        <v>3827</v>
      </c>
      <c r="I9" s="2603">
        <f>'Part IV-A-Uses of Funds'!$J$175</f>
        <v>923320</v>
      </c>
      <c r="J9" s="2604"/>
      <c r="L9" s="305" t="s">
        <v>3828</v>
      </c>
      <c r="O9" s="2605">
        <f>'Part III-Sources of Funds'!$E$11</f>
        <v>0</v>
      </c>
      <c r="P9" s="2606"/>
    </row>
    <row r="10" spans="1:16" s="305" customFormat="1" ht="6" customHeight="1">
      <c r="A10" s="307"/>
      <c r="B10" s="307"/>
      <c r="D10" s="280"/>
      <c r="E10" s="309"/>
      <c r="F10" s="309"/>
      <c r="I10" s="311"/>
      <c r="N10" s="312"/>
    </row>
    <row r="11" spans="1:16" s="305" customFormat="1" ht="13.15" customHeight="1">
      <c r="A11" s="311" t="s">
        <v>748</v>
      </c>
      <c r="B11" s="307" t="s">
        <v>2057</v>
      </c>
      <c r="F11" s="2607" t="s">
        <v>4675</v>
      </c>
      <c r="G11" s="2608"/>
      <c r="H11" s="2609"/>
      <c r="I11" s="2402" t="s">
        <v>3743</v>
      </c>
      <c r="J11" s="526" t="s">
        <v>3992</v>
      </c>
      <c r="K11" s="316"/>
      <c r="L11" s="1569"/>
      <c r="O11" s="2610" t="s">
        <v>2712</v>
      </c>
      <c r="P11" s="2611"/>
    </row>
    <row r="12" spans="1:16" s="305" customFormat="1" ht="12.75" customHeight="1">
      <c r="A12" s="501"/>
      <c r="B12" s="2613" t="s">
        <v>4520</v>
      </c>
      <c r="C12" s="2613"/>
      <c r="D12" s="2613"/>
      <c r="H12" s="1569"/>
      <c r="J12" s="527" t="s">
        <v>2753</v>
      </c>
      <c r="K12" s="277"/>
      <c r="M12" s="1569"/>
      <c r="O12" s="2584" t="s">
        <v>1784</v>
      </c>
      <c r="P12" s="2585"/>
    </row>
    <row r="13" spans="1:16" s="305" customFormat="1" ht="3" customHeight="1">
      <c r="A13" s="501"/>
      <c r="B13" s="2613"/>
      <c r="C13" s="2613"/>
      <c r="D13" s="2613"/>
      <c r="H13" s="1569"/>
      <c r="J13" s="527"/>
      <c r="K13" s="277"/>
      <c r="M13" s="1569"/>
    </row>
    <row r="14" spans="1:16" s="305" customFormat="1" ht="12.75" customHeight="1">
      <c r="A14" s="501"/>
      <c r="B14" s="2613"/>
      <c r="C14" s="2613"/>
      <c r="D14" s="2613"/>
      <c r="F14" s="2403" t="s">
        <v>3015</v>
      </c>
      <c r="G14" s="1557" t="s">
        <v>3825</v>
      </c>
    </row>
    <row r="15" spans="1:16" s="305" customFormat="1" ht="12.75" customHeight="1">
      <c r="A15" s="501"/>
      <c r="B15" s="305" t="s">
        <v>3901</v>
      </c>
      <c r="D15" s="316"/>
      <c r="F15" s="2517"/>
      <c r="G15" s="2477"/>
      <c r="H15" s="2477"/>
      <c r="I15" s="2477"/>
      <c r="J15" s="2477"/>
      <c r="K15" s="2478"/>
      <c r="L15" s="305" t="s">
        <v>3824</v>
      </c>
      <c r="O15" s="2530"/>
      <c r="P15" s="2531"/>
    </row>
    <row r="16" spans="1:16" s="305" customFormat="1" ht="12.75" customHeight="1">
      <c r="A16" s="501"/>
      <c r="B16" s="305" t="s">
        <v>3826</v>
      </c>
      <c r="F16" s="2403"/>
      <c r="G16" s="305" t="s">
        <v>3883</v>
      </c>
      <c r="H16" s="1569"/>
      <c r="I16" s="179"/>
      <c r="J16" s="527"/>
      <c r="M16" s="2586" t="s">
        <v>2905</v>
      </c>
      <c r="N16" s="2587"/>
      <c r="O16" s="2587"/>
      <c r="P16" s="2588"/>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3912</v>
      </c>
      <c r="F20" s="2479" t="s">
        <v>4671</v>
      </c>
      <c r="G20" s="2483"/>
      <c r="H20" s="2480"/>
      <c r="I20" s="305" t="s">
        <v>1810</v>
      </c>
      <c r="J20" s="2479" t="s">
        <v>4629</v>
      </c>
      <c r="K20" s="2483"/>
      <c r="L20" s="2480"/>
      <c r="M20" s="340" t="s">
        <v>1997</v>
      </c>
      <c r="N20" s="2530" t="s">
        <v>4631</v>
      </c>
      <c r="O20" s="2546"/>
      <c r="P20" s="2531"/>
    </row>
    <row r="21" spans="1:16" s="305" customFormat="1" ht="13.15" customHeight="1">
      <c r="B21" s="310" t="s">
        <v>1998</v>
      </c>
      <c r="F21" s="2461" t="s">
        <v>4638</v>
      </c>
      <c r="G21" s="2462"/>
      <c r="H21" s="2462"/>
      <c r="I21" s="2463"/>
      <c r="J21" s="2462"/>
      <c r="K21" s="2463"/>
      <c r="L21" s="2469"/>
      <c r="M21" s="2594" t="s">
        <v>3911</v>
      </c>
      <c r="N21" s="2595"/>
      <c r="O21" s="2595"/>
      <c r="P21" s="2595"/>
    </row>
    <row r="22" spans="1:16" s="305" customFormat="1" ht="13.15" customHeight="1">
      <c r="B22" s="310" t="s">
        <v>624</v>
      </c>
      <c r="F22" s="2461" t="s">
        <v>1217</v>
      </c>
      <c r="G22" s="2462"/>
      <c r="H22" s="2464"/>
      <c r="I22" s="310" t="s">
        <v>1812</v>
      </c>
      <c r="J22" s="2404" t="s">
        <v>856</v>
      </c>
      <c r="M22" s="2594"/>
      <c r="N22" s="2594"/>
      <c r="O22" s="2594"/>
      <c r="P22" s="2594"/>
    </row>
    <row r="23" spans="1:16" s="305" customFormat="1" ht="13.15" customHeight="1">
      <c r="B23" s="1557" t="s">
        <v>2246</v>
      </c>
      <c r="F23" s="2470">
        <v>303394002</v>
      </c>
      <c r="G23" s="2596"/>
      <c r="H23" s="2471"/>
      <c r="I23" s="310" t="s">
        <v>1733</v>
      </c>
      <c r="J23" s="2589">
        <v>6783245540</v>
      </c>
      <c r="K23" s="2590"/>
      <c r="L23" s="1558" t="s">
        <v>1732</v>
      </c>
      <c r="M23" s="2368">
        <v>101</v>
      </c>
      <c r="N23" s="1557" t="s">
        <v>1734</v>
      </c>
      <c r="O23" s="2597">
        <v>6783245550</v>
      </c>
      <c r="P23" s="2590"/>
    </row>
    <row r="24" spans="1:16" s="305" customFormat="1" ht="13.15" customHeight="1">
      <c r="B24" s="1557" t="s">
        <v>2001</v>
      </c>
      <c r="F24" s="2591" t="s">
        <v>4644</v>
      </c>
      <c r="G24" s="2592"/>
      <c r="H24" s="2592"/>
      <c r="I24" s="2546"/>
      <c r="J24" s="2592"/>
      <c r="K24" s="2593"/>
      <c r="N24" s="1557" t="s">
        <v>1996</v>
      </c>
      <c r="O24" s="2472">
        <v>7708627333</v>
      </c>
      <c r="P24" s="2474"/>
    </row>
    <row r="25" spans="1:16" s="305" customFormat="1" ht="13.5" customHeight="1">
      <c r="A25" s="501"/>
      <c r="B25" s="307" t="s">
        <v>4538</v>
      </c>
      <c r="C25" s="314"/>
      <c r="D25" s="1566"/>
      <c r="E25" s="1566"/>
      <c r="F25" s="1566"/>
      <c r="H25" s="1569"/>
      <c r="I25" s="1566"/>
      <c r="J25" s="314"/>
      <c r="K25" s="1566"/>
      <c r="P25" s="315"/>
    </row>
    <row r="26" spans="1:16" s="305" customFormat="1" ht="13.15" customHeight="1">
      <c r="B26" s="305" t="s">
        <v>3912</v>
      </c>
      <c r="F26" s="2479" t="s">
        <v>4671</v>
      </c>
      <c r="G26" s="2483"/>
      <c r="H26" s="2480"/>
      <c r="I26" s="305" t="s">
        <v>1810</v>
      </c>
      <c r="J26" s="2479" t="s">
        <v>4673</v>
      </c>
      <c r="K26" s="2483"/>
      <c r="L26" s="2480"/>
      <c r="M26" s="340" t="s">
        <v>1997</v>
      </c>
      <c r="N26" s="2530" t="s">
        <v>4672</v>
      </c>
      <c r="O26" s="2546"/>
      <c r="P26" s="2531"/>
    </row>
    <row r="27" spans="1:16" s="305" customFormat="1" ht="13.15" customHeight="1">
      <c r="B27" s="310" t="s">
        <v>1998</v>
      </c>
      <c r="F27" s="2461" t="s">
        <v>4638</v>
      </c>
      <c r="G27" s="2462"/>
      <c r="H27" s="2462"/>
      <c r="I27" s="2463"/>
      <c r="J27" s="2462"/>
      <c r="K27" s="2463"/>
      <c r="L27" s="2469"/>
      <c r="M27" s="2594" t="s">
        <v>3911</v>
      </c>
      <c r="N27" s="2595"/>
      <c r="O27" s="2595"/>
      <c r="P27" s="2595"/>
    </row>
    <row r="28" spans="1:16" s="305" customFormat="1" ht="13.15" customHeight="1">
      <c r="B28" s="310" t="s">
        <v>624</v>
      </c>
      <c r="F28" s="2461" t="s">
        <v>1217</v>
      </c>
      <c r="G28" s="2462"/>
      <c r="H28" s="2464"/>
      <c r="I28" s="310" t="s">
        <v>1812</v>
      </c>
      <c r="J28" s="2404" t="s">
        <v>856</v>
      </c>
      <c r="M28" s="2594"/>
      <c r="N28" s="2594"/>
      <c r="O28" s="2594"/>
      <c r="P28" s="2594"/>
    </row>
    <row r="29" spans="1:16" s="305" customFormat="1" ht="13.15" customHeight="1">
      <c r="B29" s="1557" t="s">
        <v>2246</v>
      </c>
      <c r="F29" s="2470">
        <v>303394002</v>
      </c>
      <c r="G29" s="2596"/>
      <c r="H29" s="2471"/>
      <c r="I29" s="310" t="s">
        <v>1733</v>
      </c>
      <c r="J29" s="2589">
        <v>6783245540</v>
      </c>
      <c r="K29" s="2590"/>
      <c r="L29" s="1558" t="s">
        <v>1732</v>
      </c>
      <c r="M29" s="2368">
        <v>107</v>
      </c>
      <c r="N29" s="1557" t="s">
        <v>1734</v>
      </c>
      <c r="O29" s="2597">
        <v>6783245556</v>
      </c>
      <c r="P29" s="2590"/>
    </row>
    <row r="30" spans="1:16" s="305" customFormat="1" ht="13.15" customHeight="1">
      <c r="B30" s="1557" t="s">
        <v>2001</v>
      </c>
      <c r="F30" s="2591" t="s">
        <v>4674</v>
      </c>
      <c r="G30" s="2592"/>
      <c r="H30" s="2592"/>
      <c r="I30" s="2546"/>
      <c r="J30" s="2592"/>
      <c r="K30" s="2593"/>
      <c r="N30" s="1557" t="s">
        <v>1996</v>
      </c>
      <c r="O30" s="2472">
        <v>4045435337</v>
      </c>
      <c r="P30" s="2474"/>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80" t="s">
        <v>4659</v>
      </c>
      <c r="G34" s="2581"/>
      <c r="H34" s="2581"/>
      <c r="I34" s="2581"/>
      <c r="J34" s="2581"/>
      <c r="K34" s="2582"/>
      <c r="L34" s="1557" t="s">
        <v>2209</v>
      </c>
      <c r="O34" s="2479" t="s">
        <v>3015</v>
      </c>
      <c r="P34" s="2480"/>
    </row>
    <row r="35" spans="1:16" s="305" customFormat="1" ht="13.15" customHeight="1">
      <c r="A35" s="317"/>
      <c r="B35" s="305" t="s">
        <v>2718</v>
      </c>
      <c r="D35" s="318"/>
      <c r="F35" s="2507" t="s">
        <v>4669</v>
      </c>
      <c r="G35" s="2583"/>
      <c r="H35" s="2583"/>
      <c r="I35" s="2583"/>
      <c r="J35" s="2583"/>
      <c r="K35" s="2550"/>
      <c r="L35" s="305" t="s">
        <v>3709</v>
      </c>
      <c r="O35" s="2468"/>
      <c r="P35" s="2464"/>
    </row>
    <row r="36" spans="1:16" s="305" customFormat="1" ht="13.15" customHeight="1">
      <c r="A36" s="317"/>
      <c r="B36" s="305" t="s">
        <v>2754</v>
      </c>
      <c r="D36" s="318"/>
      <c r="F36" s="2468"/>
      <c r="G36" s="2462"/>
      <c r="H36" s="2462"/>
      <c r="I36" s="2463"/>
      <c r="J36" s="2462"/>
      <c r="K36" s="2464"/>
      <c r="L36" s="1557" t="s">
        <v>2067</v>
      </c>
      <c r="N36" s="2368" t="s">
        <v>3015</v>
      </c>
      <c r="O36" s="1569" t="s">
        <v>3708</v>
      </c>
      <c r="P36" s="2362"/>
    </row>
    <row r="37" spans="1:16" s="305" customFormat="1" ht="13.15" customHeight="1">
      <c r="A37" s="317"/>
      <c r="B37" s="305" t="s">
        <v>3765</v>
      </c>
      <c r="D37" s="318"/>
      <c r="F37" s="305" t="s">
        <v>3745</v>
      </c>
      <c r="G37" s="2573">
        <v>32.473201000000003</v>
      </c>
      <c r="H37" s="2574"/>
      <c r="I37" s="1558" t="s">
        <v>3746</v>
      </c>
      <c r="J37" s="2573">
        <v>-84.954791999999998</v>
      </c>
      <c r="K37" s="2574"/>
      <c r="L37" s="1557" t="s">
        <v>2300</v>
      </c>
      <c r="O37" s="2575">
        <v>5.79</v>
      </c>
      <c r="P37" s="2576"/>
    </row>
    <row r="38" spans="1:16" s="305" customFormat="1" ht="13.15" customHeight="1">
      <c r="A38" s="501"/>
      <c r="B38" s="305" t="s">
        <v>624</v>
      </c>
      <c r="F38" s="2479" t="s">
        <v>162</v>
      </c>
      <c r="G38" s="2577"/>
      <c r="H38" s="2484"/>
      <c r="I38" s="322" t="s">
        <v>2719</v>
      </c>
      <c r="J38" s="2470">
        <v>319062100</v>
      </c>
      <c r="K38" s="2471"/>
      <c r="L38" s="380" t="str">
        <f>IF(AND(NOT(F34=""),NOT(F38="Select from list"),J38=""),"Enter Zip!","")</f>
        <v/>
      </c>
      <c r="M38" s="320" t="s">
        <v>2927</v>
      </c>
      <c r="O38" s="2578" t="s">
        <v>4668</v>
      </c>
      <c r="P38" s="2579"/>
    </row>
    <row r="39" spans="1:16" s="305" customFormat="1" ht="13.15" customHeight="1">
      <c r="A39" s="501"/>
      <c r="B39" s="1566" t="s">
        <v>3593</v>
      </c>
      <c r="D39" s="1566"/>
      <c r="F39" s="2468" t="s">
        <v>4670</v>
      </c>
      <c r="G39" s="2463"/>
      <c r="H39" s="2469"/>
      <c r="I39" s="319" t="s">
        <v>625</v>
      </c>
      <c r="J39" s="2565" t="str">
        <f>IF($F$38="","",VLOOKUP($F$38,'DCA Underwriting Assumptions'!$T$155:$U$785,2,FALSE))</f>
        <v>Muscogee</v>
      </c>
      <c r="K39" s="2566"/>
      <c r="M39" s="1557" t="s">
        <v>455</v>
      </c>
      <c r="N39" s="2405" t="s">
        <v>3015</v>
      </c>
      <c r="O39" s="1569" t="s">
        <v>456</v>
      </c>
      <c r="P39" s="2406" t="s">
        <v>3015</v>
      </c>
    </row>
    <row r="40" spans="1:16" s="305" customFormat="1" ht="13.15" customHeight="1">
      <c r="A40" s="501"/>
      <c r="B40" s="307"/>
      <c r="C40" s="305" t="s">
        <v>1570</v>
      </c>
      <c r="F40" s="2407" t="s">
        <v>3015</v>
      </c>
      <c r="G40" s="2567" t="s">
        <v>2801</v>
      </c>
      <c r="H40" s="2568"/>
      <c r="I40" s="533" t="str">
        <f>IF($J$39="","",IF(VLOOKUP($J$39,'DCA Underwriting Assumptions'!G155:M314,7,FALSE)="Rural","Yes",IF(VLOOKUP($J$39,'DCA Underwriting Assumptions'!G155:M314,7,FALSE)="Urban","No","")))</f>
        <v>No</v>
      </c>
      <c r="J40" s="1558" t="s">
        <v>2821</v>
      </c>
      <c r="K40" s="1558" t="str">
        <f>IF(OR(F40="Yes",I40="Yes"),"Rural","Urban")</f>
        <v>Urban</v>
      </c>
      <c r="M40" s="1557" t="s">
        <v>2629</v>
      </c>
      <c r="N40" s="436" t="str">
        <f>VLOOKUP($J$39,'DCA Underwriting Assumptions'!$G$155:$J$314,4)</f>
        <v>MSA</v>
      </c>
      <c r="O40" s="2569" t="str">
        <f>IF($F$38="","",VLOOKUP($J$39,'DCA Underwriting Assumptions'!$G$155:$L$314,3,FALSE))</f>
        <v>Columbus</v>
      </c>
      <c r="P40" s="2570"/>
    </row>
    <row r="41" spans="1:16" s="305" customFormat="1" ht="6" customHeight="1">
      <c r="A41" s="501"/>
      <c r="B41" s="307"/>
      <c r="C41" s="307"/>
      <c r="I41" s="310"/>
      <c r="J41" s="1566"/>
      <c r="L41" s="1577"/>
      <c r="M41" s="1577"/>
      <c r="N41" s="1577"/>
      <c r="O41" s="1577"/>
      <c r="P41" s="1577"/>
    </row>
    <row r="42" spans="1:16" s="305" customFormat="1" ht="13.15" customHeight="1">
      <c r="A42" s="501"/>
      <c r="C42" s="305" t="s">
        <v>2763</v>
      </c>
      <c r="F42" s="2571" t="s">
        <v>2782</v>
      </c>
      <c r="G42" s="2571"/>
      <c r="H42" s="2572" t="s">
        <v>744</v>
      </c>
      <c r="I42" s="2572"/>
      <c r="J42" s="2572" t="s">
        <v>745</v>
      </c>
      <c r="K42" s="2572"/>
      <c r="L42" s="520" t="s">
        <v>2720</v>
      </c>
    </row>
    <row r="43" spans="1:16" s="305" customFormat="1" ht="13.15" customHeight="1">
      <c r="A43" s="501"/>
      <c r="B43" s="305" t="s">
        <v>2781</v>
      </c>
      <c r="D43" s="307"/>
      <c r="F43" s="2559">
        <v>2</v>
      </c>
      <c r="G43" s="2560"/>
      <c r="H43" s="2559">
        <v>15</v>
      </c>
      <c r="I43" s="2560"/>
      <c r="J43" s="2559">
        <v>135</v>
      </c>
      <c r="K43" s="2560"/>
      <c r="L43" s="516" t="s">
        <v>1295</v>
      </c>
      <c r="N43" s="2561" t="s">
        <v>1296</v>
      </c>
      <c r="O43" s="2561"/>
      <c r="P43" s="2561"/>
    </row>
    <row r="44" spans="1:16" s="305" customFormat="1" ht="12.75" customHeight="1">
      <c r="A44" s="501"/>
      <c r="B44" s="310" t="s">
        <v>746</v>
      </c>
      <c r="F44" s="2562"/>
      <c r="G44" s="2563"/>
      <c r="H44" s="2562"/>
      <c r="I44" s="2563"/>
      <c r="J44" s="2562"/>
      <c r="K44" s="2563"/>
      <c r="L44" s="516" t="s">
        <v>2780</v>
      </c>
      <c r="N44" s="2564" t="s">
        <v>2779</v>
      </c>
      <c r="O44" s="2564"/>
    </row>
    <row r="45" spans="1:16" s="305" customFormat="1" ht="3" customHeight="1">
      <c r="A45" s="501"/>
      <c r="I45" s="1577"/>
      <c r="J45" s="1577"/>
      <c r="K45" s="1577"/>
      <c r="L45" s="1566"/>
      <c r="M45" s="1566"/>
      <c r="N45" s="1566"/>
      <c r="O45" s="1566"/>
      <c r="P45" s="1566"/>
    </row>
    <row r="46" spans="1:16" s="305" customFormat="1" ht="13.15" customHeight="1">
      <c r="A46" s="501"/>
      <c r="B46" s="307" t="s">
        <v>643</v>
      </c>
      <c r="F46" s="2542" t="s">
        <v>4562</v>
      </c>
      <c r="G46" s="2543"/>
      <c r="H46" s="2543"/>
      <c r="I46" s="2544"/>
      <c r="J46" s="2543"/>
      <c r="K46" s="2545"/>
      <c r="L46" s="930" t="s">
        <v>2724</v>
      </c>
      <c r="M46" s="2530" t="s">
        <v>4662</v>
      </c>
      <c r="N46" s="2546"/>
      <c r="O46" s="2546"/>
      <c r="P46" s="2531"/>
    </row>
    <row r="47" spans="1:16" s="305" customFormat="1" ht="13.15" customHeight="1">
      <c r="A47" s="501"/>
      <c r="B47" s="305" t="s">
        <v>644</v>
      </c>
      <c r="F47" s="2547" t="s">
        <v>4665</v>
      </c>
      <c r="G47" s="2548"/>
      <c r="H47" s="2549"/>
      <c r="I47" s="1559" t="s">
        <v>1997</v>
      </c>
      <c r="J47" s="2507" t="s">
        <v>4664</v>
      </c>
      <c r="K47" s="2550"/>
      <c r="L47" s="930"/>
    </row>
    <row r="48" spans="1:16" s="305" customFormat="1" ht="13.15" customHeight="1">
      <c r="A48" s="501"/>
      <c r="B48" s="305" t="s">
        <v>1998</v>
      </c>
      <c r="F48" s="2551" t="s">
        <v>4663</v>
      </c>
      <c r="G48" s="2552"/>
      <c r="H48" s="2553"/>
      <c r="I48" s="2543"/>
      <c r="J48" s="2552"/>
      <c r="K48" s="2554"/>
      <c r="L48" s="341" t="s">
        <v>624</v>
      </c>
      <c r="M48" s="2555" t="s">
        <v>162</v>
      </c>
      <c r="N48" s="2556"/>
      <c r="O48" s="2556"/>
      <c r="P48" s="2557"/>
    </row>
    <row r="49" spans="1:19" s="305" customFormat="1" ht="13.15" customHeight="1">
      <c r="A49" s="501"/>
      <c r="B49" s="1557" t="s">
        <v>2246</v>
      </c>
      <c r="F49" s="2532">
        <v>319010000</v>
      </c>
      <c r="G49" s="2533"/>
      <c r="H49" s="1558" t="s">
        <v>1999</v>
      </c>
      <c r="I49" s="2534">
        <v>7066537142</v>
      </c>
      <c r="J49" s="2535"/>
      <c r="K49" s="2536"/>
      <c r="L49" s="310" t="s">
        <v>1813</v>
      </c>
      <c r="M49" s="2537" t="s">
        <v>4661</v>
      </c>
      <c r="N49" s="2538"/>
      <c r="O49" s="2538"/>
      <c r="P49" s="2539"/>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2000</v>
      </c>
      <c r="C54" s="307" t="s">
        <v>725</v>
      </c>
      <c r="I54" s="1566"/>
      <c r="J54" s="1566"/>
      <c r="K54" s="517"/>
      <c r="L54" s="1566"/>
      <c r="M54" s="519"/>
      <c r="N54" s="519"/>
      <c r="O54" s="519"/>
      <c r="P54" s="519"/>
      <c r="Q54" s="1569"/>
    </row>
    <row r="55" spans="1:19" ht="13.15" customHeight="1">
      <c r="B55" s="501"/>
      <c r="C55" s="305" t="s">
        <v>2312</v>
      </c>
      <c r="D55" s="305"/>
      <c r="E55" s="305"/>
      <c r="H55" s="1170">
        <f>'Part VI-Revenues &amp; Expenses'!$O$74</f>
        <v>84</v>
      </c>
      <c r="K55" s="310" t="s">
        <v>3700</v>
      </c>
      <c r="L55" s="305"/>
      <c r="M55" s="991" t="s">
        <v>3699</v>
      </c>
      <c r="N55" s="325">
        <f>'Part VI-Revenues &amp; Expenses'!$O$81</f>
        <v>0</v>
      </c>
      <c r="O55" s="992" t="s">
        <v>3380</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2932</v>
      </c>
      <c r="K57" s="305" t="s">
        <v>350</v>
      </c>
      <c r="P57" s="2408"/>
      <c r="Q57" s="1569"/>
    </row>
    <row r="58" spans="1:19" s="305" customFormat="1" ht="3.6" customHeight="1">
      <c r="A58" s="501"/>
      <c r="P58" s="1566"/>
    </row>
    <row r="59" spans="1:19" s="305" customFormat="1">
      <c r="A59" s="501"/>
      <c r="B59" s="501" t="s">
        <v>2002</v>
      </c>
      <c r="C59" s="307" t="s">
        <v>2313</v>
      </c>
      <c r="H59" s="2409" t="s">
        <v>3015</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2293</v>
      </c>
      <c r="D61" s="1566"/>
      <c r="I61" s="1570" t="s">
        <v>3589</v>
      </c>
      <c r="J61" s="317" t="s">
        <v>2132</v>
      </c>
      <c r="K61" s="327" t="s">
        <v>2319</v>
      </c>
      <c r="M61" s="1566"/>
      <c r="N61" s="1566"/>
      <c r="O61" s="1566"/>
      <c r="P61" s="1569"/>
      <c r="Q61" s="1569"/>
      <c r="R61" s="1569"/>
      <c r="S61" s="1566"/>
    </row>
    <row r="62" spans="1:19" s="305" customFormat="1" ht="13.15" customHeight="1">
      <c r="A62" s="501"/>
      <c r="B62" s="1561"/>
      <c r="C62" s="314" t="s">
        <v>2294</v>
      </c>
      <c r="D62" s="1566"/>
      <c r="E62" s="1566"/>
      <c r="H62" s="679">
        <f>SUM(H63:H64)</f>
        <v>67</v>
      </c>
      <c r="I62" s="679">
        <f>SUM(I63:I64)</f>
        <v>0</v>
      </c>
      <c r="J62" s="501"/>
      <c r="K62" s="314" t="s">
        <v>2793</v>
      </c>
      <c r="M62" s="1566"/>
      <c r="N62" s="1566"/>
      <c r="O62" s="1566"/>
      <c r="P62" s="897">
        <f>'Part VI-Revenues &amp; Expenses'!$O$115</f>
        <v>73577</v>
      </c>
    </row>
    <row r="63" spans="1:19" s="305" customFormat="1" ht="13.15" customHeight="1">
      <c r="A63" s="501"/>
      <c r="B63" s="324"/>
      <c r="D63" s="329" t="s">
        <v>387</v>
      </c>
      <c r="E63" s="1566"/>
      <c r="H63" s="897">
        <f>'Part VI-Revenues &amp; Expenses'!$O$57</f>
        <v>17</v>
      </c>
      <c r="I63" s="897">
        <f>'Part VI-Revenues &amp; Expenses'!$O$65</f>
        <v>0</v>
      </c>
      <c r="K63" s="314" t="s">
        <v>2794</v>
      </c>
      <c r="M63" s="1566"/>
      <c r="N63" s="1566"/>
      <c r="O63" s="1566"/>
      <c r="P63" s="1173">
        <f>'Part VI-Revenues &amp; Expenses'!$O$116</f>
        <v>18757</v>
      </c>
    </row>
    <row r="64" spans="1:19" s="305" customFormat="1" ht="13.15" customHeight="1">
      <c r="A64" s="501"/>
      <c r="D64" s="329" t="s">
        <v>1835</v>
      </c>
      <c r="E64" s="329"/>
      <c r="H64" s="898">
        <f>'Part VI-Revenues &amp; Expenses'!$O$56</f>
        <v>50</v>
      </c>
      <c r="I64" s="898">
        <f>'Part VI-Revenues &amp; Expenses'!$O$64</f>
        <v>0</v>
      </c>
      <c r="K64" s="314" t="s">
        <v>2795</v>
      </c>
      <c r="M64" s="1566"/>
      <c r="N64" s="1566"/>
      <c r="O64" s="1566"/>
      <c r="P64" s="897">
        <f>P62+P63</f>
        <v>92334</v>
      </c>
    </row>
    <row r="65" spans="1:16" s="305" customFormat="1" ht="13.15" customHeight="1">
      <c r="A65" s="501"/>
      <c r="C65" s="314" t="s">
        <v>255</v>
      </c>
      <c r="D65" s="1566"/>
      <c r="E65" s="1566"/>
      <c r="H65" s="328">
        <f>'Part VI-Revenues &amp; Expenses'!$O$59</f>
        <v>17</v>
      </c>
      <c r="J65" s="501"/>
      <c r="K65" s="314" t="s">
        <v>2796</v>
      </c>
      <c r="M65" s="1566"/>
      <c r="N65" s="1566"/>
      <c r="O65" s="1566"/>
      <c r="P65" s="898">
        <f>'Part VI-Revenues &amp; Expenses'!$O$118</f>
        <v>0</v>
      </c>
    </row>
    <row r="66" spans="1:16" s="305" customFormat="1" ht="13.15" customHeight="1">
      <c r="A66" s="501"/>
      <c r="C66" s="314" t="s">
        <v>2424</v>
      </c>
      <c r="D66" s="1566"/>
      <c r="E66" s="1566"/>
      <c r="H66" s="897">
        <f>H62+H65</f>
        <v>84</v>
      </c>
      <c r="J66" s="501"/>
      <c r="K66" s="314" t="s">
        <v>1432</v>
      </c>
      <c r="M66" s="1566"/>
      <c r="N66" s="1566"/>
      <c r="O66" s="1566"/>
      <c r="P66" s="328">
        <f>+P64+P65</f>
        <v>92334</v>
      </c>
    </row>
    <row r="67" spans="1:16" s="305" customFormat="1" ht="13.15" customHeight="1">
      <c r="A67" s="501"/>
      <c r="C67" s="314" t="s">
        <v>2425</v>
      </c>
      <c r="D67" s="1566"/>
      <c r="E67" s="1566"/>
      <c r="H67" s="898">
        <f>'Part VI-Revenues &amp; Expenses'!$O$61</f>
        <v>0</v>
      </c>
      <c r="J67" s="501"/>
    </row>
    <row r="68" spans="1:16" s="305" customFormat="1" ht="13.15" customHeight="1">
      <c r="A68" s="501"/>
      <c r="C68" s="314" t="s">
        <v>1806</v>
      </c>
      <c r="D68" s="1566"/>
      <c r="E68" s="1566"/>
      <c r="H68" s="328">
        <f>+H66+H67</f>
        <v>84</v>
      </c>
      <c r="J68" s="1566"/>
    </row>
    <row r="69" spans="1:16" s="305" customFormat="1" ht="3" customHeight="1">
      <c r="A69" s="501"/>
      <c r="I69" s="1569"/>
      <c r="L69" s="1569"/>
      <c r="M69" s="1569"/>
      <c r="N69" s="1566"/>
      <c r="P69" s="315"/>
    </row>
    <row r="70" spans="1:16" s="305" customFormat="1" ht="13.15" customHeight="1">
      <c r="A70" s="501"/>
      <c r="B70" s="501" t="s">
        <v>1748</v>
      </c>
      <c r="C70" s="316" t="s">
        <v>2314</v>
      </c>
      <c r="D70" s="329" t="s">
        <v>2013</v>
      </c>
      <c r="G70" s="1566"/>
      <c r="H70" s="2410">
        <v>4</v>
      </c>
      <c r="K70" s="314" t="s">
        <v>4104</v>
      </c>
      <c r="O70" s="1566"/>
      <c r="P70" s="2411">
        <v>2576</v>
      </c>
    </row>
    <row r="71" spans="1:16" s="305" customFormat="1" ht="13.15" customHeight="1">
      <c r="A71" s="501"/>
      <c r="B71" s="501"/>
      <c r="D71" s="1561" t="s">
        <v>2014</v>
      </c>
      <c r="H71" s="2412">
        <v>1</v>
      </c>
      <c r="I71" s="1566"/>
      <c r="K71" s="314" t="s">
        <v>254</v>
      </c>
      <c r="O71" s="1566"/>
      <c r="P71" s="328">
        <f>+P66+P70</f>
        <v>94910</v>
      </c>
    </row>
    <row r="72" spans="1:16" s="305" customFormat="1" ht="13.15" customHeight="1">
      <c r="A72" s="501"/>
      <c r="B72" s="501"/>
      <c r="D72" s="1561" t="s">
        <v>2015</v>
      </c>
      <c r="H72" s="328">
        <f>+H70+H71</f>
        <v>5</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2862</v>
      </c>
      <c r="D74" s="1566"/>
      <c r="E74" s="1566"/>
      <c r="F74" s="1566"/>
      <c r="G74" s="1566"/>
      <c r="H74" s="2411">
        <v>170</v>
      </c>
      <c r="K74" s="2558" t="s">
        <v>3884</v>
      </c>
      <c r="L74" s="2558"/>
      <c r="M74" s="2558"/>
      <c r="N74" s="2558"/>
      <c r="O74" s="2558"/>
      <c r="P74" s="2558"/>
    </row>
    <row r="75" spans="1:16" s="305" customFormat="1" ht="4.5" customHeight="1">
      <c r="A75" s="501"/>
      <c r="B75" s="501"/>
      <c r="C75" s="314"/>
      <c r="D75" s="1566"/>
      <c r="E75" s="1566"/>
      <c r="F75" s="1566"/>
      <c r="G75" s="1569"/>
      <c r="H75" s="1566"/>
      <c r="I75" s="314"/>
      <c r="J75" s="314"/>
      <c r="K75" s="2558"/>
      <c r="L75" s="2558"/>
      <c r="M75" s="2558"/>
      <c r="N75" s="2558"/>
      <c r="O75" s="2558"/>
      <c r="P75" s="2558"/>
    </row>
    <row r="76" spans="1:16" s="305" customFormat="1" ht="13.15" customHeight="1">
      <c r="A76" s="501" t="s">
        <v>535</v>
      </c>
      <c r="B76" s="330" t="s">
        <v>1202</v>
      </c>
      <c r="D76" s="330"/>
      <c r="E76" s="330"/>
      <c r="F76" s="1566"/>
      <c r="G76" s="1569"/>
      <c r="H76" s="531"/>
      <c r="K76" s="2558"/>
      <c r="L76" s="2558"/>
      <c r="M76" s="2558"/>
      <c r="N76" s="2558"/>
      <c r="O76" s="2558"/>
      <c r="P76" s="2558"/>
    </row>
    <row r="77" spans="1:16" s="305" customFormat="1" ht="3" customHeight="1">
      <c r="A77" s="501"/>
      <c r="C77" s="1560"/>
      <c r="D77" s="1560"/>
      <c r="E77" s="1560"/>
      <c r="F77" s="1566"/>
      <c r="G77" s="1569"/>
      <c r="K77" s="1566"/>
      <c r="P77" s="315"/>
    </row>
    <row r="78" spans="1:16" s="305" customFormat="1" ht="13.15" customHeight="1">
      <c r="A78" s="501"/>
      <c r="B78" s="501" t="s">
        <v>2000</v>
      </c>
      <c r="C78" s="277" t="s">
        <v>2710</v>
      </c>
      <c r="D78" s="1560"/>
      <c r="E78" s="1560"/>
      <c r="F78" s="1566"/>
      <c r="G78" s="1569"/>
      <c r="H78" s="2540" t="s">
        <v>2933</v>
      </c>
      <c r="I78" s="2541"/>
      <c r="K78" s="2439" t="s">
        <v>1785</v>
      </c>
      <c r="L78" s="2439"/>
      <c r="M78" s="2530"/>
      <c r="N78" s="2546"/>
      <c r="O78" s="2546"/>
      <c r="P78" s="2531"/>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2526" t="s">
        <v>3906</v>
      </c>
      <c r="I80" s="2526"/>
      <c r="K80" s="331" t="s">
        <v>2933</v>
      </c>
      <c r="L80" s="2410"/>
      <c r="M80" s="331" t="s">
        <v>2934</v>
      </c>
      <c r="N80" s="2410"/>
      <c r="P80" s="318" t="s">
        <v>3908</v>
      </c>
    </row>
    <row r="81" spans="1:16" s="305" customFormat="1" ht="13.15" customHeight="1">
      <c r="A81" s="501"/>
      <c r="B81" s="501"/>
      <c r="D81" s="1557"/>
      <c r="E81" s="1560"/>
      <c r="H81" s="2526"/>
      <c r="I81" s="2526"/>
      <c r="K81" s="318" t="s">
        <v>2935</v>
      </c>
      <c r="L81" s="2412"/>
      <c r="M81" s="318" t="s">
        <v>3907</v>
      </c>
      <c r="N81" s="2412"/>
      <c r="P81" s="2413"/>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2002</v>
      </c>
      <c r="C83" s="316" t="s">
        <v>1423</v>
      </c>
      <c r="D83" s="1566"/>
      <c r="E83" s="329"/>
      <c r="F83" s="1561" t="s">
        <v>804</v>
      </c>
      <c r="H83" s="328">
        <f>'Part VIII-Threshold Criteria'!K301</f>
        <v>5</v>
      </c>
      <c r="K83" s="2439" t="s">
        <v>525</v>
      </c>
      <c r="L83" s="2439"/>
      <c r="N83" s="332">
        <f>IF('Part VI-Revenues &amp; Expenses'!$O$62=0,0,H83/'Part VI-Revenues &amp; Expenses'!$O$62)</f>
        <v>5.9523809523809521E-2</v>
      </c>
      <c r="O83" s="318" t="s">
        <v>3723</v>
      </c>
      <c r="P83" s="1002">
        <f>'DCA Underwriting Assumptions'!$Q$136</f>
        <v>0.05</v>
      </c>
    </row>
    <row r="84" spans="1:16" s="305" customFormat="1" ht="12.75" customHeight="1">
      <c r="A84" s="501"/>
      <c r="B84" s="501"/>
      <c r="D84" s="1561" t="s">
        <v>2860</v>
      </c>
      <c r="E84" s="1561"/>
      <c r="F84" s="1561" t="s">
        <v>804</v>
      </c>
      <c r="H84" s="328">
        <f>'Part VIII-Threshold Criteria'!K303</f>
        <v>2</v>
      </c>
      <c r="K84" s="1566" t="s">
        <v>2861</v>
      </c>
      <c r="L84" s="1566"/>
      <c r="N84" s="332">
        <f>IF(H83=0,0,H84/H83)</f>
        <v>0.4</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1859</v>
      </c>
      <c r="D86" s="329"/>
      <c r="E86" s="329"/>
      <c r="F86" s="1561" t="s">
        <v>804</v>
      </c>
      <c r="H86" s="328">
        <f>'Part VIII-Threshold Criteria'!K305</f>
        <v>2</v>
      </c>
      <c r="K86" s="2439" t="s">
        <v>525</v>
      </c>
      <c r="L86" s="2439"/>
      <c r="N86" s="332">
        <f>IF('Part VI-Revenues &amp; Expenses'!$O$62=0,0,H86/'Part VI-Revenues &amp; Expenses'!$O$62)</f>
        <v>2.3809523809523808E-2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2394</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2000</v>
      </c>
      <c r="C90" s="277" t="s">
        <v>2393</v>
      </c>
      <c r="D90" s="1561"/>
      <c r="E90" s="1561"/>
      <c r="F90" s="1561"/>
      <c r="H90" s="2527" t="s">
        <v>878</v>
      </c>
      <c r="I90" s="2528"/>
      <c r="J90" s="2529"/>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2002</v>
      </c>
      <c r="C92" s="307" t="s">
        <v>1546</v>
      </c>
      <c r="K92" s="310" t="s">
        <v>877</v>
      </c>
      <c r="N92" s="334"/>
      <c r="P92" s="2409" t="s">
        <v>3015</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2058</v>
      </c>
      <c r="D94" s="1561"/>
    </row>
    <row r="95" spans="1:16" s="305" customFormat="1" ht="3" customHeight="1">
      <c r="A95" s="501"/>
      <c r="B95" s="501"/>
      <c r="D95" s="1561"/>
      <c r="N95" s="1566"/>
      <c r="P95" s="315"/>
    </row>
    <row r="96" spans="1:16" s="305" customFormat="1" ht="13.15" customHeight="1">
      <c r="A96" s="333"/>
      <c r="B96" s="501" t="s">
        <v>2000</v>
      </c>
      <c r="C96" s="307" t="s">
        <v>2728</v>
      </c>
      <c r="F96" s="329" t="s">
        <v>2618</v>
      </c>
      <c r="H96" s="2409" t="s">
        <v>3015</v>
      </c>
      <c r="K96" s="329" t="s">
        <v>3931</v>
      </c>
      <c r="L96" s="2409" t="s">
        <v>3012</v>
      </c>
      <c r="O96" s="312" t="s">
        <v>3925</v>
      </c>
      <c r="P96" s="2409" t="s">
        <v>3015</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2002</v>
      </c>
      <c r="C98" s="307" t="s">
        <v>2729</v>
      </c>
      <c r="F98" s="1557" t="s">
        <v>2697</v>
      </c>
      <c r="H98" s="2409" t="s">
        <v>3015</v>
      </c>
      <c r="I98" s="496" t="s">
        <v>2730</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2803</v>
      </c>
      <c r="D100" s="1561"/>
      <c r="H100" s="2530" t="s">
        <v>2839</v>
      </c>
      <c r="I100" s="2531"/>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2479"/>
      <c r="F104" s="2483"/>
      <c r="G104" s="2483"/>
      <c r="H104" s="2483"/>
      <c r="I104" s="2483"/>
      <c r="J104" s="2483"/>
      <c r="K104" s="2483"/>
      <c r="L104" s="2480"/>
      <c r="M104" s="2519" t="s">
        <v>558</v>
      </c>
      <c r="N104" s="2519"/>
      <c r="O104" s="2446"/>
      <c r="P104" s="2447"/>
    </row>
    <row r="105" spans="1:16" s="305" customFormat="1" ht="13.15" customHeight="1">
      <c r="C105" s="310" t="s">
        <v>1031</v>
      </c>
      <c r="D105" s="318"/>
      <c r="E105" s="2461"/>
      <c r="F105" s="2462"/>
      <c r="G105" s="2462"/>
      <c r="H105" s="2463"/>
      <c r="I105" s="2462"/>
      <c r="J105" s="2463"/>
      <c r="K105" s="2462"/>
      <c r="L105" s="2464"/>
      <c r="M105" s="2519" t="s">
        <v>816</v>
      </c>
      <c r="N105" s="2519"/>
      <c r="O105" s="2520"/>
      <c r="P105" s="2521"/>
    </row>
    <row r="106" spans="1:16" s="305" customFormat="1" ht="13.15" customHeight="1">
      <c r="C106" s="310" t="s">
        <v>624</v>
      </c>
      <c r="E106" s="2507"/>
      <c r="F106" s="2508"/>
      <c r="G106" s="2509"/>
      <c r="H106" s="1558" t="s">
        <v>1812</v>
      </c>
      <c r="I106" s="2414"/>
      <c r="J106" s="335" t="s">
        <v>2246</v>
      </c>
      <c r="K106" s="2522"/>
      <c r="L106" s="2523"/>
      <c r="M106" s="280" t="s">
        <v>3690</v>
      </c>
      <c r="N106" s="280"/>
      <c r="O106" s="2524"/>
      <c r="P106" s="2525"/>
    </row>
    <row r="107" spans="1:16" s="305" customFormat="1" ht="13.15" customHeight="1">
      <c r="C107" s="305" t="s">
        <v>2211</v>
      </c>
      <c r="E107" s="2507"/>
      <c r="F107" s="2508"/>
      <c r="G107" s="2509"/>
      <c r="H107" s="1039" t="s">
        <v>1997</v>
      </c>
      <c r="I107" s="2510"/>
      <c r="J107" s="2511"/>
      <c r="K107" s="2512"/>
      <c r="L107" s="1576" t="s">
        <v>2001</v>
      </c>
      <c r="M107" s="2479"/>
      <c r="N107" s="2513"/>
      <c r="O107" s="2514"/>
      <c r="P107" s="2515"/>
    </row>
    <row r="108" spans="1:16" s="305" customFormat="1" ht="13.15" customHeight="1">
      <c r="C108" s="310" t="s">
        <v>2210</v>
      </c>
      <c r="E108" s="2472"/>
      <c r="F108" s="2473"/>
      <c r="G108" s="2474"/>
      <c r="H108" s="1039" t="s">
        <v>1815</v>
      </c>
      <c r="I108" s="2472"/>
      <c r="J108" s="2516"/>
      <c r="K108" s="1558" t="s">
        <v>2724</v>
      </c>
      <c r="L108" s="2517"/>
      <c r="M108" s="2476"/>
      <c r="N108" s="2476"/>
      <c r="O108" s="2476"/>
      <c r="P108" s="2518"/>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0" t="s">
        <v>1424</v>
      </c>
      <c r="D114" s="1561"/>
      <c r="E114" s="1561"/>
      <c r="F114" s="1569"/>
      <c r="G114" s="1569"/>
      <c r="H114" s="2415">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0" t="s">
        <v>418</v>
      </c>
      <c r="D116" s="1561"/>
      <c r="E116" s="1561"/>
      <c r="F116" s="1569"/>
      <c r="G116" s="1569"/>
      <c r="H116" s="2416">
        <v>923320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2152</v>
      </c>
      <c r="D119" s="1561"/>
      <c r="F119" s="1561" t="s">
        <v>1144</v>
      </c>
      <c r="G119" s="1569"/>
      <c r="H119" s="1569"/>
      <c r="I119" s="1569" t="s">
        <v>1306</v>
      </c>
      <c r="J119" s="1561" t="s">
        <v>2152</v>
      </c>
      <c r="K119" s="1561"/>
      <c r="M119" s="1561" t="s">
        <v>1144</v>
      </c>
      <c r="N119" s="1569"/>
      <c r="O119" s="1569"/>
      <c r="P119" s="1569" t="s">
        <v>1306</v>
      </c>
    </row>
    <row r="120" spans="1:16" s="305" customFormat="1" ht="13.15" customHeight="1">
      <c r="A120" s="501"/>
      <c r="B120" s="501"/>
      <c r="C120" s="2499" t="s">
        <v>4629</v>
      </c>
      <c r="D120" s="2500"/>
      <c r="E120" s="2500"/>
      <c r="F120" s="2501" t="s">
        <v>4659</v>
      </c>
      <c r="G120" s="2502"/>
      <c r="H120" s="2506"/>
      <c r="I120" s="2417" t="s">
        <v>4680</v>
      </c>
      <c r="J120" s="2499">
        <v>7</v>
      </c>
      <c r="K120" s="2500"/>
      <c r="L120" s="2500"/>
      <c r="M120" s="2501"/>
      <c r="N120" s="2502"/>
      <c r="O120" s="2506"/>
      <c r="P120" s="2417"/>
    </row>
    <row r="121" spans="1:16" s="305" customFormat="1" ht="13.15" customHeight="1">
      <c r="A121" s="501"/>
      <c r="B121" s="501"/>
      <c r="C121" s="2488" t="s">
        <v>4660</v>
      </c>
      <c r="D121" s="2489"/>
      <c r="E121" s="2489"/>
      <c r="F121" s="2490" t="s">
        <v>4659</v>
      </c>
      <c r="G121" s="2491"/>
      <c r="H121" s="2504"/>
      <c r="I121" s="2418" t="s">
        <v>4680</v>
      </c>
      <c r="J121" s="2488">
        <v>8</v>
      </c>
      <c r="K121" s="2489"/>
      <c r="L121" s="2489"/>
      <c r="M121" s="2490"/>
      <c r="N121" s="2491"/>
      <c r="O121" s="2504"/>
      <c r="P121" s="2418"/>
    </row>
    <row r="122" spans="1:16" s="305" customFormat="1" ht="13.15" customHeight="1">
      <c r="A122" s="501"/>
      <c r="B122" s="501"/>
      <c r="C122" s="2488">
        <v>3</v>
      </c>
      <c r="D122" s="2489"/>
      <c r="E122" s="2489"/>
      <c r="F122" s="2490"/>
      <c r="G122" s="2491"/>
      <c r="H122" s="2504"/>
      <c r="I122" s="2418"/>
      <c r="J122" s="2488">
        <v>9</v>
      </c>
      <c r="K122" s="2489"/>
      <c r="L122" s="2489"/>
      <c r="M122" s="2490"/>
      <c r="N122" s="2491"/>
      <c r="O122" s="2504"/>
      <c r="P122" s="2418"/>
    </row>
    <row r="123" spans="1:16" s="305" customFormat="1" ht="13.15" customHeight="1">
      <c r="A123" s="501"/>
      <c r="B123" s="501"/>
      <c r="C123" s="2488">
        <v>4</v>
      </c>
      <c r="D123" s="2489"/>
      <c r="E123" s="2489"/>
      <c r="F123" s="2490"/>
      <c r="G123" s="2491"/>
      <c r="H123" s="2504"/>
      <c r="I123" s="2418"/>
      <c r="J123" s="2488">
        <v>10</v>
      </c>
      <c r="K123" s="2489"/>
      <c r="L123" s="2489"/>
      <c r="M123" s="2490"/>
      <c r="N123" s="2491"/>
      <c r="O123" s="2504"/>
      <c r="P123" s="2418"/>
    </row>
    <row r="124" spans="1:16" s="305" customFormat="1" ht="13.15" customHeight="1">
      <c r="A124" s="501"/>
      <c r="B124" s="501"/>
      <c r="C124" s="2488">
        <v>5</v>
      </c>
      <c r="D124" s="2489"/>
      <c r="E124" s="2489"/>
      <c r="F124" s="2490"/>
      <c r="G124" s="2491"/>
      <c r="H124" s="2504"/>
      <c r="I124" s="2418"/>
      <c r="J124" s="2488">
        <v>11</v>
      </c>
      <c r="K124" s="2489"/>
      <c r="L124" s="2489"/>
      <c r="M124" s="2490"/>
      <c r="N124" s="2491"/>
      <c r="O124" s="2504"/>
      <c r="P124" s="2418"/>
    </row>
    <row r="125" spans="1:16" s="305" customFormat="1" ht="13.15" customHeight="1">
      <c r="A125" s="501"/>
      <c r="B125" s="501"/>
      <c r="C125" s="2493">
        <v>6</v>
      </c>
      <c r="D125" s="2494"/>
      <c r="E125" s="2494"/>
      <c r="F125" s="2495"/>
      <c r="G125" s="2496"/>
      <c r="H125" s="2505"/>
      <c r="I125" s="2419"/>
      <c r="J125" s="2493">
        <v>12</v>
      </c>
      <c r="K125" s="2494"/>
      <c r="L125" s="2494"/>
      <c r="M125" s="2495"/>
      <c r="N125" s="2496"/>
      <c r="O125" s="2505"/>
      <c r="P125" s="241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2498" t="s">
        <v>1862</v>
      </c>
      <c r="D127" s="2498"/>
      <c r="E127" s="2498"/>
      <c r="F127" s="2498"/>
      <c r="G127" s="2498"/>
      <c r="H127" s="2498"/>
      <c r="I127" s="2498"/>
      <c r="J127" s="2498"/>
      <c r="K127" s="2498"/>
      <c r="L127" s="2498"/>
      <c r="M127" s="2498"/>
      <c r="N127" s="2498"/>
      <c r="O127" s="2498"/>
      <c r="P127" s="2498"/>
    </row>
    <row r="128" spans="1:16" s="305" customFormat="1" ht="13.15" customHeight="1">
      <c r="A128" s="501"/>
      <c r="B128" s="501"/>
      <c r="C128" s="2498"/>
      <c r="D128" s="2498"/>
      <c r="E128" s="2498"/>
      <c r="F128" s="2498"/>
      <c r="G128" s="2498"/>
      <c r="H128" s="2498"/>
      <c r="I128" s="2498"/>
      <c r="J128" s="2498"/>
      <c r="K128" s="2498"/>
      <c r="L128" s="2498"/>
      <c r="M128" s="2498"/>
      <c r="N128" s="2498"/>
      <c r="O128" s="2498"/>
      <c r="P128" s="2498"/>
    </row>
    <row r="129" spans="1:16" s="305" customFormat="1" ht="13.15" customHeight="1">
      <c r="B129" s="501"/>
      <c r="C129" s="1561" t="s">
        <v>2152</v>
      </c>
      <c r="D129" s="1561"/>
      <c r="F129" s="1561" t="s">
        <v>1144</v>
      </c>
      <c r="G129" s="1569"/>
      <c r="H129" s="1569"/>
      <c r="I129" s="1569"/>
      <c r="J129" s="1561" t="s">
        <v>2152</v>
      </c>
      <c r="K129" s="1561"/>
      <c r="M129" s="1561" t="s">
        <v>1144</v>
      </c>
      <c r="N129" s="1569"/>
      <c r="O129" s="1569"/>
      <c r="P129" s="1569"/>
    </row>
    <row r="130" spans="1:16" s="305" customFormat="1" ht="13.15" customHeight="1">
      <c r="A130" s="501"/>
      <c r="B130" s="501"/>
      <c r="C130" s="2499">
        <v>1</v>
      </c>
      <c r="D130" s="2500"/>
      <c r="E130" s="2500"/>
      <c r="F130" s="2501"/>
      <c r="G130" s="2502"/>
      <c r="H130" s="2502"/>
      <c r="I130" s="2503"/>
      <c r="J130" s="2499">
        <v>7</v>
      </c>
      <c r="K130" s="2500"/>
      <c r="L130" s="2500"/>
      <c r="M130" s="2501"/>
      <c r="N130" s="2502"/>
      <c r="O130" s="2502"/>
      <c r="P130" s="2503"/>
    </row>
    <row r="131" spans="1:16" s="305" customFormat="1" ht="13.15" customHeight="1">
      <c r="A131" s="501"/>
      <c r="B131" s="501"/>
      <c r="C131" s="2488">
        <v>2</v>
      </c>
      <c r="D131" s="2489"/>
      <c r="E131" s="2489"/>
      <c r="F131" s="2490"/>
      <c r="G131" s="2491"/>
      <c r="H131" s="2491"/>
      <c r="I131" s="2492"/>
      <c r="J131" s="2488">
        <v>8</v>
      </c>
      <c r="K131" s="2489"/>
      <c r="L131" s="2489"/>
      <c r="M131" s="2490"/>
      <c r="N131" s="2491"/>
      <c r="O131" s="2491"/>
      <c r="P131" s="2492"/>
    </row>
    <row r="132" spans="1:16" s="305" customFormat="1" ht="13.15" customHeight="1">
      <c r="A132" s="501"/>
      <c r="B132" s="501"/>
      <c r="C132" s="2488">
        <v>3</v>
      </c>
      <c r="D132" s="2489"/>
      <c r="E132" s="2489"/>
      <c r="F132" s="2490"/>
      <c r="G132" s="2491"/>
      <c r="H132" s="2491"/>
      <c r="I132" s="2492"/>
      <c r="J132" s="2488">
        <v>9</v>
      </c>
      <c r="K132" s="2489"/>
      <c r="L132" s="2489"/>
      <c r="M132" s="2490"/>
      <c r="N132" s="2491"/>
      <c r="O132" s="2491"/>
      <c r="P132" s="2492"/>
    </row>
    <row r="133" spans="1:16" s="305" customFormat="1" ht="13.15" customHeight="1">
      <c r="A133" s="501"/>
      <c r="B133" s="501"/>
      <c r="C133" s="2488">
        <v>4</v>
      </c>
      <c r="D133" s="2489"/>
      <c r="E133" s="2489"/>
      <c r="F133" s="2490"/>
      <c r="G133" s="2491"/>
      <c r="H133" s="2491"/>
      <c r="I133" s="2492"/>
      <c r="J133" s="2488">
        <v>10</v>
      </c>
      <c r="K133" s="2489"/>
      <c r="L133" s="2489"/>
      <c r="M133" s="2490"/>
      <c r="N133" s="2491"/>
      <c r="O133" s="2491"/>
      <c r="P133" s="2492"/>
    </row>
    <row r="134" spans="1:16" s="305" customFormat="1" ht="13.15" customHeight="1">
      <c r="A134" s="501"/>
      <c r="B134" s="501"/>
      <c r="C134" s="2488">
        <v>5</v>
      </c>
      <c r="D134" s="2489"/>
      <c r="E134" s="2489"/>
      <c r="F134" s="2490"/>
      <c r="G134" s="2491"/>
      <c r="H134" s="2491"/>
      <c r="I134" s="2492"/>
      <c r="J134" s="2488">
        <v>11</v>
      </c>
      <c r="K134" s="2489"/>
      <c r="L134" s="2489"/>
      <c r="M134" s="2490"/>
      <c r="N134" s="2491"/>
      <c r="O134" s="2491"/>
      <c r="P134" s="2492"/>
    </row>
    <row r="135" spans="1:16" s="305" customFormat="1" ht="13.15" customHeight="1">
      <c r="A135" s="501"/>
      <c r="B135" s="501"/>
      <c r="C135" s="2493">
        <v>6</v>
      </c>
      <c r="D135" s="2494"/>
      <c r="E135" s="2494"/>
      <c r="F135" s="2495"/>
      <c r="G135" s="2496"/>
      <c r="H135" s="2496"/>
      <c r="I135" s="2497"/>
      <c r="J135" s="2493">
        <v>12</v>
      </c>
      <c r="K135" s="2494"/>
      <c r="L135" s="2494"/>
      <c r="M135" s="2495"/>
      <c r="N135" s="2496"/>
      <c r="O135" s="2496"/>
      <c r="P135" s="2497"/>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2435</v>
      </c>
      <c r="D138" s="330"/>
      <c r="E138" s="330"/>
      <c r="F138" s="330"/>
      <c r="I138" s="2409" t="s">
        <v>3015</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2000</v>
      </c>
      <c r="C140" s="311" t="s">
        <v>1726</v>
      </c>
      <c r="I140" s="2361"/>
      <c r="M140" s="1569"/>
      <c r="N140" s="1566"/>
      <c r="O140" s="1566"/>
      <c r="P140" s="315"/>
    </row>
    <row r="141" spans="1:16" s="305" customFormat="1" ht="13.15" customHeight="1">
      <c r="A141" s="501"/>
      <c r="B141" s="501"/>
      <c r="C141" s="1561" t="s">
        <v>2437</v>
      </c>
      <c r="D141" s="1561"/>
      <c r="E141" s="1561"/>
      <c r="F141" s="1569"/>
      <c r="I141" s="2420"/>
      <c r="N141" s="1566"/>
      <c r="O141" s="1566"/>
      <c r="P141" s="315"/>
    </row>
    <row r="142" spans="1:16" s="305" customFormat="1" ht="13.15" customHeight="1">
      <c r="A142" s="501"/>
      <c r="B142" s="501"/>
      <c r="C142" s="338" t="s">
        <v>1725</v>
      </c>
      <c r="D142" s="310"/>
      <c r="I142" s="2362"/>
      <c r="P142" s="315"/>
    </row>
    <row r="143" spans="1:16" s="305" customFormat="1" ht="13.15" customHeight="1">
      <c r="A143" s="501"/>
      <c r="B143" s="501"/>
      <c r="C143" s="1561" t="s">
        <v>2438</v>
      </c>
      <c r="D143" s="1561"/>
      <c r="E143" s="1561"/>
      <c r="F143" s="1569"/>
      <c r="I143" s="2420"/>
      <c r="K143" s="280" t="s">
        <v>2262</v>
      </c>
      <c r="O143" s="2479" t="s">
        <v>489</v>
      </c>
      <c r="P143" s="2480"/>
    </row>
    <row r="144" spans="1:16" s="305" customFormat="1" ht="13.15" customHeight="1">
      <c r="A144" s="501"/>
      <c r="B144" s="501"/>
      <c r="C144" s="1561" t="s">
        <v>2436</v>
      </c>
      <c r="F144" s="1569"/>
      <c r="I144" s="2421"/>
      <c r="K144" s="280" t="s">
        <v>2263</v>
      </c>
      <c r="O144" s="2468" t="s">
        <v>489</v>
      </c>
      <c r="P144" s="2469"/>
    </row>
    <row r="145" spans="1:16" s="305" customFormat="1" ht="13.15" customHeight="1">
      <c r="A145" s="501"/>
      <c r="B145" s="501"/>
      <c r="C145" s="1561" t="s">
        <v>2183</v>
      </c>
      <c r="D145" s="1561"/>
      <c r="E145" s="1561"/>
      <c r="F145" s="1569"/>
      <c r="I145" s="2481"/>
      <c r="J145" s="2482"/>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2002</v>
      </c>
      <c r="C147" s="1560" t="s">
        <v>2507</v>
      </c>
      <c r="D147" s="1561"/>
      <c r="E147" s="1561"/>
      <c r="F147" s="1569"/>
      <c r="I147" s="2415" t="s">
        <v>3015</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2721</v>
      </c>
      <c r="D149" s="1561"/>
      <c r="E149" s="1561"/>
      <c r="F149" s="1569"/>
      <c r="G149" s="1569"/>
      <c r="N149" s="1566"/>
      <c r="O149" s="1566"/>
      <c r="P149" s="315"/>
    </row>
    <row r="150" spans="1:16" s="305" customFormat="1" ht="13.15" customHeight="1">
      <c r="A150" s="501"/>
      <c r="B150" s="501"/>
      <c r="C150" s="1561" t="s">
        <v>726</v>
      </c>
      <c r="D150" s="1561"/>
      <c r="E150" s="1561"/>
      <c r="F150" s="1569"/>
      <c r="G150" s="1569"/>
      <c r="I150" s="2415" t="s">
        <v>3015</v>
      </c>
      <c r="K150" s="1561" t="s">
        <v>1547</v>
      </c>
      <c r="L150" s="1561"/>
      <c r="M150" s="1569"/>
      <c r="N150" s="1569"/>
      <c r="O150" s="2415" t="s">
        <v>3015</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2000</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2422" t="s">
        <v>3015</v>
      </c>
      <c r="N155" s="1566"/>
      <c r="O155" s="1566"/>
      <c r="P155" s="315"/>
    </row>
    <row r="156" spans="1:16" s="305" customFormat="1" ht="12.6" customHeight="1">
      <c r="A156" s="501"/>
      <c r="B156" s="501"/>
      <c r="C156" s="305" t="s">
        <v>621</v>
      </c>
      <c r="K156" s="2423"/>
      <c r="L156" s="310" t="s">
        <v>1808</v>
      </c>
      <c r="P156" s="339">
        <f>IF('Part VI-Revenues &amp; Expenses'!O$60=0,0,K156/'Part VI-Revenues &amp; Expenses'!$O$60)</f>
        <v>0</v>
      </c>
    </row>
    <row r="157" spans="1:16" s="305" customFormat="1" ht="12.6" customHeight="1">
      <c r="A157" s="501"/>
      <c r="B157" s="501"/>
      <c r="C157" s="305" t="s">
        <v>3755</v>
      </c>
      <c r="H157" s="2411"/>
      <c r="I157" s="179"/>
      <c r="J157" s="901" t="s">
        <v>3754</v>
      </c>
      <c r="K157" s="242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79" t="s">
        <v>4618</v>
      </c>
      <c r="F158" s="2483"/>
      <c r="G158" s="2483"/>
      <c r="H158" s="2483"/>
      <c r="I158" s="2483"/>
      <c r="J158" s="2483"/>
      <c r="K158" s="2484"/>
      <c r="L158" s="340" t="s">
        <v>1810</v>
      </c>
      <c r="M158" s="2485" t="s">
        <v>4657</v>
      </c>
      <c r="N158" s="2486"/>
      <c r="O158" s="2486"/>
      <c r="P158" s="2487"/>
    </row>
    <row r="159" spans="1:16" s="305" customFormat="1" ht="12.6" customHeight="1">
      <c r="A159" s="501"/>
      <c r="B159" s="501"/>
      <c r="C159" s="310" t="s">
        <v>1811</v>
      </c>
      <c r="D159" s="318"/>
      <c r="E159" s="2461" t="s">
        <v>4656</v>
      </c>
      <c r="F159" s="2462"/>
      <c r="G159" s="2462"/>
      <c r="H159" s="2462"/>
      <c r="I159" s="2463"/>
      <c r="J159" s="2462"/>
      <c r="K159" s="2464"/>
      <c r="L159" s="340" t="s">
        <v>1815</v>
      </c>
      <c r="M159" s="2465">
        <v>7065712807</v>
      </c>
      <c r="N159" s="2466"/>
      <c r="O159" s="2467"/>
    </row>
    <row r="160" spans="1:16" s="305" customFormat="1" ht="12.6" customHeight="1">
      <c r="A160" s="501"/>
      <c r="B160" s="501"/>
      <c r="C160" s="310" t="s">
        <v>624</v>
      </c>
      <c r="E160" s="2468" t="s">
        <v>162</v>
      </c>
      <c r="F160" s="2463"/>
      <c r="G160" s="2463"/>
      <c r="H160" s="2469"/>
      <c r="I160" s="335" t="s">
        <v>2246</v>
      </c>
      <c r="J160" s="2470">
        <v>319062801</v>
      </c>
      <c r="K160" s="2471"/>
      <c r="L160" s="341" t="s">
        <v>1996</v>
      </c>
      <c r="M160" s="2465"/>
      <c r="N160" s="2466"/>
      <c r="O160" s="2467"/>
    </row>
    <row r="161" spans="1:16" s="305" customFormat="1" ht="12.6" customHeight="1">
      <c r="A161" s="501"/>
      <c r="B161" s="501"/>
      <c r="C161" s="310" t="s">
        <v>1814</v>
      </c>
      <c r="E161" s="2472">
        <v>7065712800</v>
      </c>
      <c r="F161" s="2473"/>
      <c r="G161" s="2474"/>
      <c r="H161" s="1562"/>
      <c r="I161" s="1559" t="s">
        <v>1813</v>
      </c>
      <c r="J161" s="2475" t="s">
        <v>4658</v>
      </c>
      <c r="K161" s="2476"/>
      <c r="L161" s="2477"/>
      <c r="M161" s="2476"/>
      <c r="N161" s="2476"/>
      <c r="O161" s="2476"/>
      <c r="P161" s="2478"/>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2002</v>
      </c>
      <c r="C163" s="1560" t="s">
        <v>2722</v>
      </c>
      <c r="D163" s="1560"/>
      <c r="E163" s="1560"/>
      <c r="F163" s="1560"/>
      <c r="G163" s="1560"/>
      <c r="I163" s="2415" t="s">
        <v>3015</v>
      </c>
      <c r="J163" s="2454" t="s">
        <v>769</v>
      </c>
      <c r="K163" s="2455"/>
      <c r="L163" s="2415"/>
      <c r="M163" s="2456" t="s">
        <v>2343</v>
      </c>
      <c r="N163" s="2457"/>
      <c r="O163" s="2458"/>
      <c r="P163" s="2424"/>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2723</v>
      </c>
      <c r="D165" s="1560"/>
      <c r="E165" s="1560"/>
      <c r="F165" s="1560"/>
      <c r="G165" s="1560"/>
      <c r="I165" s="2415" t="s">
        <v>3012</v>
      </c>
      <c r="J165" s="2454" t="s">
        <v>769</v>
      </c>
      <c r="K165" s="2455"/>
      <c r="L165" s="2415">
        <v>2040</v>
      </c>
      <c r="M165" s="2456" t="s">
        <v>2343</v>
      </c>
      <c r="N165" s="2457"/>
      <c r="O165" s="2458"/>
      <c r="P165" s="2424">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2415"/>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2132</v>
      </c>
      <c r="C169" s="2459" t="s">
        <v>1995</v>
      </c>
      <c r="D169" s="2459"/>
      <c r="E169" s="2459"/>
      <c r="F169" s="2459"/>
      <c r="G169" s="1560"/>
      <c r="I169" s="2415"/>
      <c r="J169" s="345" t="s">
        <v>2773</v>
      </c>
      <c r="L169" s="2460" t="s">
        <v>3730</v>
      </c>
      <c r="M169" s="2460"/>
      <c r="N169" s="1560"/>
      <c r="O169" s="1560"/>
      <c r="P169" s="2410"/>
    </row>
    <row r="170" spans="1:16" s="305" customFormat="1" ht="12.6" customHeight="1">
      <c r="B170" s="501"/>
      <c r="L170" s="2439" t="s">
        <v>805</v>
      </c>
      <c r="M170" s="2439"/>
      <c r="N170" s="1560"/>
      <c r="O170" s="1560"/>
      <c r="P170" s="2412"/>
    </row>
    <row r="171" spans="1:16" s="305" customFormat="1" ht="12.6" customHeight="1">
      <c r="A171" s="501"/>
      <c r="B171" s="501"/>
      <c r="L171" s="2439" t="s">
        <v>1804</v>
      </c>
      <c r="M171" s="2439"/>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2229</v>
      </c>
      <c r="D173" s="316"/>
      <c r="E173" s="1566"/>
      <c r="F173" s="1566"/>
      <c r="I173" s="2422" t="s">
        <v>3015</v>
      </c>
      <c r="L173" s="1566" t="s">
        <v>1622</v>
      </c>
      <c r="M173" s="1566"/>
      <c r="N173" s="1566"/>
      <c r="P173" s="2422" t="s">
        <v>3012</v>
      </c>
    </row>
    <row r="174" spans="1:16" s="305" customFormat="1" ht="12.6" customHeight="1">
      <c r="A174" s="501"/>
      <c r="B174" s="501"/>
      <c r="C174" s="1566" t="s">
        <v>2230</v>
      </c>
      <c r="I174" s="2422" t="s">
        <v>3015</v>
      </c>
      <c r="L174" s="1566" t="s">
        <v>2865</v>
      </c>
      <c r="M174" s="1566"/>
      <c r="N174" s="1566"/>
      <c r="P174" s="2421" t="s">
        <v>3015</v>
      </c>
    </row>
    <row r="175" spans="1:16" s="305" customFormat="1" ht="12.6" customHeight="1">
      <c r="A175" s="501"/>
      <c r="C175" s="1566" t="s">
        <v>2742</v>
      </c>
      <c r="I175" s="2422" t="s">
        <v>3015</v>
      </c>
      <c r="L175" s="1566" t="s">
        <v>2708</v>
      </c>
      <c r="N175" s="2440"/>
      <c r="O175" s="2441"/>
      <c r="P175" s="2421" t="s">
        <v>3015</v>
      </c>
    </row>
    <row r="176" spans="1:16" s="305" customFormat="1" ht="12.6" customHeight="1">
      <c r="A176" s="501"/>
      <c r="B176" s="501"/>
      <c r="C176" s="1566" t="s">
        <v>1297</v>
      </c>
      <c r="D176" s="346"/>
      <c r="I176" s="2422" t="s">
        <v>3015</v>
      </c>
      <c r="K176" s="316"/>
      <c r="L176" s="1566" t="s">
        <v>3507</v>
      </c>
      <c r="M176" s="1566"/>
      <c r="N176" s="1566"/>
      <c r="P176" s="2421" t="s">
        <v>3015</v>
      </c>
    </row>
    <row r="177" spans="1:21" s="305" customFormat="1" ht="12.6" customHeight="1">
      <c r="A177" s="501"/>
      <c r="B177" s="307"/>
      <c r="C177" s="1566" t="s">
        <v>1820</v>
      </c>
      <c r="I177" s="2422" t="s">
        <v>3015</v>
      </c>
      <c r="J177" s="345" t="s">
        <v>2774</v>
      </c>
      <c r="O177" s="2442"/>
      <c r="P177" s="2443"/>
    </row>
    <row r="178" spans="1:21" s="305" customFormat="1" ht="12.6" customHeight="1">
      <c r="A178" s="501"/>
      <c r="B178" s="501"/>
      <c r="C178" s="1566" t="s">
        <v>2923</v>
      </c>
      <c r="I178" s="2422" t="s">
        <v>3015</v>
      </c>
      <c r="J178" s="345" t="s">
        <v>2774</v>
      </c>
      <c r="O178" s="2444"/>
      <c r="P178" s="2445"/>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2446"/>
      <c r="I181" s="2447"/>
      <c r="N181" s="1566"/>
      <c r="O181" s="1566"/>
      <c r="P181" s="315"/>
    </row>
    <row r="182" spans="1:21" s="305" customFormat="1" ht="12.6" customHeight="1">
      <c r="A182" s="501"/>
      <c r="B182" s="501"/>
      <c r="C182" s="310" t="s">
        <v>278</v>
      </c>
      <c r="D182" s="1561"/>
      <c r="E182" s="1561"/>
      <c r="F182" s="1569"/>
      <c r="G182" s="1569"/>
      <c r="H182" s="2435"/>
      <c r="I182" s="2436"/>
      <c r="N182" s="1566"/>
      <c r="O182" s="1566"/>
      <c r="P182" s="315"/>
    </row>
    <row r="183" spans="1:21" s="305" customFormat="1" ht="12.6" customHeight="1">
      <c r="A183" s="501"/>
      <c r="B183" s="501"/>
      <c r="C183" s="310" t="s">
        <v>2312</v>
      </c>
      <c r="D183" s="1561"/>
      <c r="E183" s="1561"/>
      <c r="F183" s="1569"/>
      <c r="G183" s="1569"/>
      <c r="H183" s="2437">
        <v>44136</v>
      </c>
      <c r="I183" s="2438"/>
      <c r="N183" s="1566"/>
      <c r="O183" s="1566"/>
      <c r="P183" s="315"/>
    </row>
    <row r="184" spans="1:21" s="305" customFormat="1" ht="6" customHeight="1">
      <c r="B184" s="307"/>
      <c r="C184" s="1566"/>
      <c r="H184" s="1566"/>
      <c r="L184" s="324"/>
      <c r="M184" s="324"/>
      <c r="N184" s="324"/>
      <c r="O184" s="324"/>
      <c r="P184" s="312"/>
    </row>
    <row r="185" spans="1:21" ht="12" customHeight="1">
      <c r="A185" s="333" t="s">
        <v>2802</v>
      </c>
      <c r="C185" s="333" t="s">
        <v>577</v>
      </c>
      <c r="M185" s="333" t="s">
        <v>2268</v>
      </c>
      <c r="N185" s="333" t="s">
        <v>80</v>
      </c>
    </row>
    <row r="186" spans="1:21" ht="409.5" customHeight="1">
      <c r="A186" s="2448" t="s">
        <v>4722</v>
      </c>
      <c r="B186" s="2449"/>
      <c r="C186" s="2449"/>
      <c r="D186" s="2449"/>
      <c r="E186" s="2449"/>
      <c r="F186" s="2449"/>
      <c r="G186" s="2449"/>
      <c r="H186" s="2449"/>
      <c r="I186" s="2449"/>
      <c r="J186" s="2449"/>
      <c r="K186" s="2449"/>
      <c r="L186" s="2450"/>
      <c r="M186" s="2451"/>
      <c r="N186" s="2452"/>
      <c r="O186" s="2452"/>
      <c r="P186" s="2453"/>
      <c r="Q186" s="2434" t="s">
        <v>2711</v>
      </c>
      <c r="R186" s="2434"/>
      <c r="S186" s="2434"/>
      <c r="T186" s="2434"/>
      <c r="U186" s="2434"/>
    </row>
    <row r="187" spans="1:21" ht="12" customHeight="1">
      <c r="Q187" s="2434"/>
      <c r="R187" s="2434"/>
      <c r="S187" s="2434"/>
      <c r="T187" s="2434"/>
      <c r="U187" s="2434"/>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5"/>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5"/>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5"/>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5"/>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2905</v>
      </c>
      <c r="K207" s="1181"/>
      <c r="L207" s="1181"/>
      <c r="M207" s="1181"/>
      <c r="N207" s="1181"/>
      <c r="O207" s="1181"/>
      <c r="P207" s="1183"/>
      <c r="Q207" s="2425"/>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2906</v>
      </c>
      <c r="K208" s="1181"/>
      <c r="L208" s="1181"/>
      <c r="M208" s="1181"/>
      <c r="N208" s="1181"/>
      <c r="O208" s="1181"/>
      <c r="P208" s="1183"/>
      <c r="Q208" s="2425"/>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2907</v>
      </c>
      <c r="K209" s="1181"/>
      <c r="L209" s="1181"/>
      <c r="M209" s="1181"/>
      <c r="N209" s="1181"/>
      <c r="O209" s="1181"/>
      <c r="P209" s="1183"/>
      <c r="Q209" s="2425"/>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2908</v>
      </c>
      <c r="K210" s="1181"/>
      <c r="L210" s="1181"/>
      <c r="M210" s="1181"/>
      <c r="N210" s="1181"/>
      <c r="O210" s="1181"/>
      <c r="P210" s="1183"/>
      <c r="Q210" s="2425"/>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2909</v>
      </c>
      <c r="K211" s="1181"/>
      <c r="L211" s="1181"/>
      <c r="M211" s="1181"/>
      <c r="N211" s="1181"/>
      <c r="O211" s="1181"/>
      <c r="P211" s="1183"/>
      <c r="Q211" s="2425"/>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2910</v>
      </c>
      <c r="K212" s="1181"/>
      <c r="L212" s="1181"/>
      <c r="M212" s="1181"/>
      <c r="N212" s="1181"/>
      <c r="O212" s="1181"/>
      <c r="P212" s="1183"/>
      <c r="Q212" s="2425"/>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2911</v>
      </c>
      <c r="K213" s="1181"/>
      <c r="L213" s="1181"/>
      <c r="M213" s="1181"/>
      <c r="N213" s="1181"/>
      <c r="O213" s="1181"/>
      <c r="P213" s="1183"/>
      <c r="Q213" s="2425"/>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2912</v>
      </c>
      <c r="K214" s="1181"/>
      <c r="L214" s="1181"/>
      <c r="M214" s="1181"/>
      <c r="N214" s="1181"/>
      <c r="O214" s="1181"/>
      <c r="P214" s="1183"/>
      <c r="Q214" s="2425"/>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2913</v>
      </c>
      <c r="K215" s="1181"/>
      <c r="L215" s="1181"/>
      <c r="M215" s="1181"/>
      <c r="N215" s="1181"/>
      <c r="O215" s="1181"/>
      <c r="P215" s="1183"/>
      <c r="Q215" s="2425"/>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3902</v>
      </c>
      <c r="K216" s="1181"/>
      <c r="L216" s="1181"/>
      <c r="M216" s="1181"/>
      <c r="N216" s="1181"/>
      <c r="O216" s="1181"/>
      <c r="P216" s="1183"/>
      <c r="Q216" s="2425"/>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5"/>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5"/>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5"/>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5"/>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5"/>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6"/>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5"/>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5"/>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5"/>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6"/>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5"/>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5"/>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5"/>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5"/>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5"/>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5"/>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5"/>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5"/>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5"/>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5"/>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5"/>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5"/>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5"/>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7"/>
      <c r="Q240" s="2425"/>
      <c r="R240" s="1183"/>
      <c r="S240" s="242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5"/>
      <c r="R241" s="1183"/>
      <c r="S241" s="242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5"/>
      <c r="R242" s="1183"/>
      <c r="S242" s="242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5"/>
      <c r="R243" s="1183"/>
      <c r="S243" s="242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6"/>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5"/>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5"/>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7"/>
      <c r="Q248" s="2425"/>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5"/>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5"/>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5"/>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5"/>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5"/>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5"/>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5"/>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7"/>
      <c r="Q256" s="2425"/>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5"/>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5"/>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5"/>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5"/>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5"/>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5"/>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5"/>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5"/>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5"/>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5"/>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5"/>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5"/>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5"/>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5"/>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5"/>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5"/>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5"/>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5"/>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5"/>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5"/>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5"/>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5"/>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5"/>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5"/>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5"/>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5"/>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5"/>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5"/>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5"/>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5"/>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5"/>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5"/>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5"/>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5"/>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5"/>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5"/>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5"/>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5"/>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5"/>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5"/>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5"/>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7"/>
      <c r="Q298" s="2425"/>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5"/>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5"/>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5"/>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5"/>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5"/>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5"/>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5"/>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5"/>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5"/>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5"/>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5"/>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5"/>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5"/>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6"/>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5"/>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5"/>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5"/>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6"/>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5"/>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5"/>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7"/>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5"/>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5"/>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5"/>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6"/>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5"/>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7"/>
      <c r="Q327" s="2425"/>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5"/>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5"/>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5"/>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6"/>
      <c r="Q333" s="2425"/>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5"/>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5"/>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5"/>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5"/>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5"/>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5"/>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5"/>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5"/>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5"/>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5"/>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5"/>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5"/>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5"/>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5"/>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5"/>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5"/>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5"/>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7"/>
      <c r="Q351" s="2425"/>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5"/>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5"/>
      <c r="R353" s="1183"/>
      <c r="S353" s="242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5"/>
      <c r="R354" s="1183"/>
      <c r="S354" s="242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5"/>
      <c r="R355" s="1183"/>
      <c r="S355" s="242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7"/>
      <c r="Q357" s="1181"/>
      <c r="R357" s="1183"/>
      <c r="S357" s="242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7"/>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7"/>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7"/>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7"/>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7"/>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7"/>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7"/>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7"/>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3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3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3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3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3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3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3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3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3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3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3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3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3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3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3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3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3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3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3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3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8" t="s">
        <v>95</v>
      </c>
      <c r="S613" s="2428" t="s">
        <v>97</v>
      </c>
      <c r="T613" s="242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8" t="s">
        <v>2579</v>
      </c>
      <c r="S614" s="2428" t="s">
        <v>634</v>
      </c>
      <c r="T614" s="2431"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30"/>
      <c r="R615" s="2428" t="s">
        <v>2580</v>
      </c>
      <c r="S615" s="2428" t="s">
        <v>321</v>
      </c>
      <c r="T615" s="2431"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8" t="s">
        <v>2581</v>
      </c>
      <c r="S616" s="2428" t="s">
        <v>2500</v>
      </c>
      <c r="T616" s="2431"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8" t="s">
        <v>2582</v>
      </c>
      <c r="S617" s="2428"/>
      <c r="T617" s="2431"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8" t="s">
        <v>2583</v>
      </c>
      <c r="S618" s="2428" t="s">
        <v>2024</v>
      </c>
      <c r="T618" s="2431"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8" t="s">
        <v>2584</v>
      </c>
      <c r="S619" s="2428" t="s">
        <v>2500</v>
      </c>
      <c r="T619" s="2431"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8" t="s">
        <v>2585</v>
      </c>
      <c r="S620" s="2428" t="s">
        <v>1339</v>
      </c>
      <c r="T620" s="2431"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8" t="s">
        <v>2586</v>
      </c>
      <c r="S621" s="2428" t="s">
        <v>2026</v>
      </c>
      <c r="T621" s="2431"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8" t="s">
        <v>2587</v>
      </c>
      <c r="S622" s="2428" t="s">
        <v>672</v>
      </c>
      <c r="T622" s="2431"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8" t="s">
        <v>2588</v>
      </c>
      <c r="S623" s="2428" t="s">
        <v>634</v>
      </c>
      <c r="T623" s="2431"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8" t="s">
        <v>2589</v>
      </c>
      <c r="S624" s="2428" t="s">
        <v>2189</v>
      </c>
      <c r="T624" s="2431"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8" t="s">
        <v>2590</v>
      </c>
      <c r="S625" s="2428" t="s">
        <v>2549</v>
      </c>
      <c r="T625" s="2431"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8" t="s">
        <v>2261</v>
      </c>
      <c r="S626" s="2428" t="s">
        <v>2546</v>
      </c>
      <c r="T626" s="2431"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8" t="s">
        <v>2591</v>
      </c>
      <c r="S627" s="2428" t="s">
        <v>2189</v>
      </c>
      <c r="T627" s="2431"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8" t="s">
        <v>2592</v>
      </c>
      <c r="S628" s="2428" t="s">
        <v>2503</v>
      </c>
      <c r="T628" s="2431"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9"/>
      <c r="R629" s="2428" t="s">
        <v>2593</v>
      </c>
      <c r="S629" s="2428" t="s">
        <v>2024</v>
      </c>
      <c r="T629" s="2431"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8" t="s">
        <v>1055</v>
      </c>
      <c r="S630" s="2428" t="s">
        <v>1468</v>
      </c>
      <c r="T630" s="2431"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30"/>
      <c r="R631" s="2428" t="s">
        <v>913</v>
      </c>
      <c r="S631" s="2428" t="s">
        <v>1113</v>
      </c>
      <c r="T631" s="2431"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8" t="s">
        <v>1056</v>
      </c>
      <c r="S632" s="2428" t="s">
        <v>634</v>
      </c>
      <c r="T632" s="2431"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8" t="s">
        <v>1057</v>
      </c>
      <c r="S633" s="2428" t="s">
        <v>1927</v>
      </c>
      <c r="T633" s="2431"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30"/>
      <c r="R634" s="2428" t="s">
        <v>1058</v>
      </c>
      <c r="S634" s="2428" t="s">
        <v>2022</v>
      </c>
      <c r="T634" s="2431"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8" t="s">
        <v>1059</v>
      </c>
      <c r="S635" s="2428" t="s">
        <v>1106</v>
      </c>
      <c r="T635" s="2431"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2"/>
      <c r="R636" s="2428" t="s">
        <v>1060</v>
      </c>
      <c r="S636" s="2428" t="s">
        <v>1532</v>
      </c>
      <c r="T636" s="2431"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8" t="s">
        <v>1061</v>
      </c>
      <c r="S637" s="2428" t="s">
        <v>2500</v>
      </c>
      <c r="T637" s="2431"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30"/>
      <c r="R638" s="2428" t="s">
        <v>1062</v>
      </c>
      <c r="S638" s="2428" t="s">
        <v>160</v>
      </c>
      <c r="T638" s="2431"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30"/>
      <c r="R639" s="2428" t="s">
        <v>1063</v>
      </c>
      <c r="S639" s="2428" t="s">
        <v>1346</v>
      </c>
      <c r="T639" s="2431"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8" t="s">
        <v>1064</v>
      </c>
      <c r="S640" s="2428" t="s">
        <v>1532</v>
      </c>
      <c r="T640" s="2431"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8" t="s">
        <v>1065</v>
      </c>
      <c r="S641" s="2428" t="s">
        <v>1120</v>
      </c>
      <c r="T641" s="2431"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8" t="s">
        <v>1066</v>
      </c>
      <c r="S642" s="2428" t="s">
        <v>2022</v>
      </c>
      <c r="T642" s="2431"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1"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8" t="s">
        <v>1067</v>
      </c>
      <c r="S644" s="2428" t="s">
        <v>2503</v>
      </c>
      <c r="T644" s="2431"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8" t="s">
        <v>1619</v>
      </c>
      <c r="S645" s="2428" t="s">
        <v>2546</v>
      </c>
      <c r="T645" s="2431"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8" t="s">
        <v>1068</v>
      </c>
      <c r="S646" s="2428"/>
      <c r="T646" s="2431"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8" t="s">
        <v>185</v>
      </c>
      <c r="S647" s="2428" t="s">
        <v>160</v>
      </c>
      <c r="T647" s="2431"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8" t="s">
        <v>1069</v>
      </c>
      <c r="S648" s="2428" t="s">
        <v>176</v>
      </c>
      <c r="T648" s="2431"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8" t="s">
        <v>2302</v>
      </c>
      <c r="S649" s="2428" t="s">
        <v>1218</v>
      </c>
      <c r="T649" s="2431"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8" t="s">
        <v>1070</v>
      </c>
      <c r="S650" s="2428" t="s">
        <v>634</v>
      </c>
      <c r="T650" s="2431"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8" t="s">
        <v>1071</v>
      </c>
      <c r="S651" s="2428" t="s">
        <v>634</v>
      </c>
      <c r="T651" s="2431"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8" t="s">
        <v>1072</v>
      </c>
      <c r="S652" s="2428" t="s">
        <v>634</v>
      </c>
      <c r="T652" s="2431"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8" t="s">
        <v>1073</v>
      </c>
      <c r="S653" s="2428" t="s">
        <v>634</v>
      </c>
      <c r="T653" s="2431"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8" t="s">
        <v>1074</v>
      </c>
      <c r="S654" s="2428" t="s">
        <v>1681</v>
      </c>
      <c r="T654" s="2431"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8" t="s">
        <v>1075</v>
      </c>
      <c r="S655" s="2428" t="s">
        <v>964</v>
      </c>
      <c r="T655" s="2431"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8" t="s">
        <v>1076</v>
      </c>
      <c r="S656" s="2428" t="s">
        <v>123</v>
      </c>
      <c r="T656" s="2431"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30"/>
      <c r="R657" s="2428" t="s">
        <v>1077</v>
      </c>
      <c r="S657" s="2428" t="s">
        <v>634</v>
      </c>
      <c r="T657" s="2431"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8" t="s">
        <v>1078</v>
      </c>
      <c r="S658" s="2428" t="s">
        <v>318</v>
      </c>
      <c r="T658" s="2431"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8" t="s">
        <v>1079</v>
      </c>
      <c r="S659" s="2428" t="s">
        <v>322</v>
      </c>
      <c r="T659" s="2431"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8" t="s">
        <v>840</v>
      </c>
      <c r="S660" s="2428" t="s">
        <v>1325</v>
      </c>
      <c r="T660" s="2431"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8" t="s">
        <v>1080</v>
      </c>
      <c r="S661" s="2428" t="s">
        <v>672</v>
      </c>
      <c r="T661" s="2431"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8" t="s">
        <v>1081</v>
      </c>
      <c r="S662" s="2428" t="s">
        <v>1532</v>
      </c>
      <c r="T662" s="2431"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8" t="s">
        <v>1082</v>
      </c>
      <c r="S663" s="2428" t="s">
        <v>634</v>
      </c>
      <c r="T663" s="2431"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8" t="s">
        <v>1083</v>
      </c>
      <c r="S664" s="2428" t="s">
        <v>664</v>
      </c>
      <c r="T664" s="2431"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8" t="s">
        <v>1084</v>
      </c>
      <c r="S665" s="2428" t="s">
        <v>160</v>
      </c>
      <c r="T665" s="2431"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9"/>
      <c r="R666" s="2428" t="s">
        <v>1085</v>
      </c>
      <c r="S666" s="2428" t="s">
        <v>1927</v>
      </c>
      <c r="T666" s="2431"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30"/>
      <c r="R667" s="2428" t="s">
        <v>1086</v>
      </c>
      <c r="S667" s="2428" t="s">
        <v>2022</v>
      </c>
      <c r="T667" s="2431"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8" t="s">
        <v>1087</v>
      </c>
      <c r="S668" s="2428" t="s">
        <v>634</v>
      </c>
      <c r="T668" s="2431"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8" t="s">
        <v>1088</v>
      </c>
      <c r="S669" s="2428" t="s">
        <v>1681</v>
      </c>
      <c r="T669" s="2431"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30"/>
      <c r="R670" s="2428" t="s">
        <v>1089</v>
      </c>
      <c r="S670" s="2428" t="s">
        <v>2503</v>
      </c>
      <c r="T670" s="2431"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8" t="s">
        <v>1090</v>
      </c>
      <c r="S671" s="2428" t="s">
        <v>160</v>
      </c>
      <c r="T671" s="2431"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8" t="s">
        <v>1091</v>
      </c>
      <c r="S672" s="2428" t="s">
        <v>160</v>
      </c>
      <c r="T672" s="2431"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3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3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3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3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3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3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3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3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3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3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3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f06MwqJ265LwAsO8pAlJrRKmsd/RDXZTiWrXU9+MIaDMS/7V9GttfUq1xMVETroXsc7RCIJvvn7lR8w/psMNgg==" saltValue="g4LM8bexaBlkxHMZ7wyRc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8" t="str">
        <f>Overview!C8</f>
        <v>Grayling Place</v>
      </c>
      <c r="C1" s="3638"/>
      <c r="D1" s="3638"/>
      <c r="E1" s="3638"/>
      <c r="F1" s="3638"/>
      <c r="G1" s="3638"/>
      <c r="H1" s="1441"/>
    </row>
    <row r="2" spans="1:8" ht="21.95" customHeight="1">
      <c r="A2" s="1469"/>
      <c r="B2" s="1469"/>
      <c r="C2" s="1469"/>
      <c r="D2" s="1469"/>
      <c r="E2" s="1469"/>
      <c r="F2" s="1469"/>
      <c r="G2" s="1469"/>
      <c r="H2" s="1469"/>
    </row>
    <row r="3" spans="1:8" ht="20.25" customHeight="1">
      <c r="C3" s="3637" t="s">
        <v>3099</v>
      </c>
      <c r="D3" s="3637"/>
      <c r="E3" s="3637"/>
      <c r="F3" s="3637"/>
    </row>
    <row r="5" spans="1:8" ht="15.75">
      <c r="D5" s="1402"/>
      <c r="E5" s="1402" t="s">
        <v>3100</v>
      </c>
    </row>
    <row r="6" spans="1:8" ht="15.75">
      <c r="D6" s="1442" t="s">
        <v>2497</v>
      </c>
      <c r="E6" s="1442" t="s">
        <v>3101</v>
      </c>
    </row>
    <row r="7" spans="1:8" ht="15">
      <c r="D7" s="1403"/>
      <c r="E7" s="1403"/>
    </row>
    <row r="8" spans="1:8" ht="21" customHeight="1">
      <c r="D8" s="1404">
        <v>1</v>
      </c>
      <c r="E8" s="1405">
        <f>-'Part VII-Pro Forma'!B23/12</f>
        <v>16110.488376678239</v>
      </c>
    </row>
    <row r="9" spans="1:8" ht="21" customHeight="1">
      <c r="D9" s="1404">
        <v>2</v>
      </c>
      <c r="E9" s="1405">
        <f>-'Part VII-Pro Forma'!C23/12</f>
        <v>16110.488376678239</v>
      </c>
    </row>
    <row r="10" spans="1:8" ht="21" customHeight="1">
      <c r="D10" s="1404">
        <v>3</v>
      </c>
      <c r="E10" s="1405">
        <f>-'Part VII-Pro Forma'!D23/12</f>
        <v>16110.488376678239</v>
      </c>
    </row>
    <row r="11" spans="1:8" ht="21" customHeight="1">
      <c r="D11" s="1406">
        <v>4</v>
      </c>
      <c r="E11" s="1405">
        <f>-'Part VII-Pro Forma'!E23/12</f>
        <v>16110.488376678239</v>
      </c>
    </row>
    <row r="12" spans="1:8" ht="21" customHeight="1">
      <c r="D12" s="1406">
        <v>5</v>
      </c>
      <c r="E12" s="1405">
        <f>-'Part VII-Pro Forma'!F23/12</f>
        <v>16110.488376678239</v>
      </c>
    </row>
    <row r="13" spans="1:8" ht="21" customHeight="1">
      <c r="D13" s="1404">
        <v>6</v>
      </c>
      <c r="E13" s="1405">
        <f>-'Part VII-Pro Forma'!G23/12</f>
        <v>16110.488376678239</v>
      </c>
    </row>
    <row r="14" spans="1:8" ht="21" customHeight="1">
      <c r="D14" s="1404">
        <v>7</v>
      </c>
      <c r="E14" s="1405">
        <f>-'Part VII-Pro Forma'!H23/12</f>
        <v>16110.488376678239</v>
      </c>
    </row>
    <row r="15" spans="1:8" ht="21" customHeight="1">
      <c r="D15" s="1406">
        <v>8</v>
      </c>
      <c r="E15" s="1405">
        <f>-'Part VII-Pro Forma'!I23/12</f>
        <v>16110.488376678239</v>
      </c>
    </row>
    <row r="16" spans="1:8" ht="21" customHeight="1">
      <c r="D16" s="1404">
        <v>9</v>
      </c>
      <c r="E16" s="1405">
        <f>-'Part VII-Pro Forma'!J23/12</f>
        <v>16110.488376678239</v>
      </c>
    </row>
    <row r="17" spans="4:8" ht="21" customHeight="1">
      <c r="D17" s="1404">
        <v>10</v>
      </c>
      <c r="E17" s="1405">
        <f>-'Part VII-Pro Forma'!K23/12</f>
        <v>16110.488376678239</v>
      </c>
    </row>
    <row r="18" spans="4:8" ht="21" customHeight="1">
      <c r="D18" s="1406">
        <v>11</v>
      </c>
      <c r="E18" s="1405">
        <f>-'Part VII-Pro Forma'!B53/12</f>
        <v>16110.488376678239</v>
      </c>
    </row>
    <row r="19" spans="4:8" ht="21" customHeight="1">
      <c r="D19" s="1404">
        <v>12</v>
      </c>
      <c r="E19" s="1405">
        <f>-'Part VII-Pro Forma'!C53/12</f>
        <v>16110.488376678239</v>
      </c>
    </row>
    <row r="20" spans="4:8" ht="21" customHeight="1">
      <c r="D20" s="1404">
        <v>13</v>
      </c>
      <c r="E20" s="1405">
        <f>-'Part VII-Pro Forma'!D53/12</f>
        <v>16110.488376678239</v>
      </c>
    </row>
    <row r="21" spans="4:8" ht="21" customHeight="1">
      <c r="D21" s="1404">
        <v>14</v>
      </c>
      <c r="E21" s="1405">
        <f>-'Part VII-Pro Forma'!E53/12</f>
        <v>16110.488376678239</v>
      </c>
    </row>
    <row r="22" spans="4:8" ht="21" customHeight="1">
      <c r="D22" s="1404">
        <v>15</v>
      </c>
      <c r="E22" s="1405">
        <f>-'Part VII-Pro Forma'!F53/12</f>
        <v>16110.488376678239</v>
      </c>
    </row>
    <row r="23" spans="4:8" ht="21" customHeight="1">
      <c r="D23" s="1404">
        <v>16</v>
      </c>
      <c r="E23" s="1405">
        <f>-'Part VII-Pro Forma'!G53/12</f>
        <v>16110.488376678239</v>
      </c>
    </row>
    <row r="24" spans="4:8" ht="21" customHeight="1">
      <c r="D24" s="1404">
        <v>17</v>
      </c>
      <c r="E24" s="1405">
        <f>-'Part VII-Pro Forma'!H53/12</f>
        <v>16110.488376678239</v>
      </c>
      <c r="H24" s="580" t="s">
        <v>245</v>
      </c>
    </row>
    <row r="25" spans="4:8" ht="21" customHeight="1">
      <c r="D25" s="1404">
        <v>18</v>
      </c>
      <c r="E25" s="1405">
        <f>-'Part VII-Pro Forma'!I53/12</f>
        <v>16110.488376678239</v>
      </c>
    </row>
    <row r="26" spans="4:8" ht="21" customHeight="1">
      <c r="D26" s="1404">
        <v>19</v>
      </c>
      <c r="E26" s="1405">
        <f>-'Part VII-Pro Forma'!J53/12</f>
        <v>16110.488376678239</v>
      </c>
    </row>
    <row r="27" spans="4:8" ht="21" customHeight="1">
      <c r="D27" s="1404">
        <v>20</v>
      </c>
      <c r="E27" s="1405">
        <f>-'Part VII-Pro Forma'!K53/12</f>
        <v>16110.488376678239</v>
      </c>
    </row>
    <row r="28" spans="4:8" ht="21" customHeight="1">
      <c r="D28" s="1404">
        <v>21</v>
      </c>
      <c r="E28" s="1405">
        <f>-'Part VII-Pro Forma'!B83/12</f>
        <v>16110.488376678239</v>
      </c>
    </row>
    <row r="29" spans="4:8" ht="21" customHeight="1">
      <c r="D29" s="1404">
        <v>22</v>
      </c>
      <c r="E29" s="1405">
        <f>-'Part VII-Pro Forma'!C83/12</f>
        <v>16110.488376678239</v>
      </c>
    </row>
    <row r="30" spans="4:8" ht="21" customHeight="1">
      <c r="D30" s="1404">
        <v>23</v>
      </c>
      <c r="E30" s="1405">
        <f>-'Part VII-Pro Forma'!D83/12</f>
        <v>16110.488376678239</v>
      </c>
    </row>
    <row r="31" spans="4:8" ht="21" customHeight="1">
      <c r="D31" s="1404">
        <v>24</v>
      </c>
      <c r="E31" s="1405">
        <f>-'Part VII-Pro Forma'!E83/12</f>
        <v>16110.488376678239</v>
      </c>
    </row>
    <row r="32" spans="4:8" ht="21" customHeight="1">
      <c r="D32" s="1404">
        <v>25</v>
      </c>
      <c r="E32" s="1405">
        <f>-'Part VII-Pro Forma'!F83/12</f>
        <v>16110.488376678239</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39" t="s">
        <v>3102</v>
      </c>
      <c r="B1" s="3639"/>
      <c r="C1" s="3639"/>
      <c r="D1" s="3639"/>
      <c r="E1" s="3639"/>
      <c r="F1" s="3639"/>
      <c r="G1" s="3639"/>
      <c r="H1" s="3639"/>
      <c r="I1" s="3639"/>
      <c r="J1" s="3639"/>
      <c r="K1" s="3639"/>
    </row>
    <row r="2" spans="1:11" ht="15">
      <c r="A2" s="3653" t="str">
        <f>Overview!C8</f>
        <v>Grayling Place</v>
      </c>
      <c r="B2" s="3653"/>
      <c r="C2" s="3653"/>
      <c r="D2" s="3653"/>
      <c r="E2" s="3653"/>
      <c r="F2" s="3653"/>
      <c r="G2" s="3653"/>
      <c r="H2" s="3653"/>
      <c r="I2" s="3653"/>
      <c r="J2" s="3653"/>
      <c r="K2" s="3653"/>
    </row>
    <row r="3" spans="1:11" ht="9" customHeight="1">
      <c r="A3" s="810"/>
      <c r="B3" s="810"/>
      <c r="C3" s="810"/>
    </row>
    <row r="4" spans="1:11" ht="18">
      <c r="A4" s="811" t="s">
        <v>3577</v>
      </c>
      <c r="B4" s="810"/>
      <c r="C4" s="810"/>
      <c r="K4" s="812"/>
    </row>
    <row r="5" spans="1:11" s="767" customFormat="1" ht="42" customHeight="1">
      <c r="C5" s="3640" t="s">
        <v>4524</v>
      </c>
      <c r="D5" s="3641"/>
      <c r="E5" s="3642"/>
      <c r="F5" s="593"/>
      <c r="G5" s="3640" t="s">
        <v>4525</v>
      </c>
      <c r="H5" s="3641"/>
      <c r="I5" s="3642"/>
      <c r="J5" s="809"/>
      <c r="K5" s="3651" t="s">
        <v>4526</v>
      </c>
    </row>
    <row r="6" spans="1:11" s="814" customFormat="1" ht="15" customHeight="1">
      <c r="A6" s="813" t="s">
        <v>2734</v>
      </c>
      <c r="C6" s="815" t="s">
        <v>3560</v>
      </c>
      <c r="D6" s="815" t="s">
        <v>4527</v>
      </c>
      <c r="E6" s="815" t="s">
        <v>2007</v>
      </c>
      <c r="G6" s="815" t="s">
        <v>3561</v>
      </c>
      <c r="H6" s="815" t="s">
        <v>4528</v>
      </c>
      <c r="I6" s="815" t="s">
        <v>2007</v>
      </c>
      <c r="K6" s="3652"/>
    </row>
    <row r="7" spans="1:11" s="593" customFormat="1" ht="13.5" customHeight="1">
      <c r="A7" s="593" t="s">
        <v>3103</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2732</v>
      </c>
      <c r="C8" s="817"/>
      <c r="D8" s="1407">
        <f>'Part VI-Revenues &amp; Expenses'!$K$58</f>
        <v>8</v>
      </c>
      <c r="E8" s="819">
        <f>C8*D8</f>
        <v>0</v>
      </c>
      <c r="G8" s="817"/>
      <c r="H8" s="818">
        <f>'Part VI-Revenues &amp; Expenses'!$K$62</f>
        <v>10</v>
      </c>
      <c r="I8" s="819">
        <f>G8*H8</f>
        <v>0</v>
      </c>
      <c r="K8" s="816" t="s">
        <v>3562</v>
      </c>
    </row>
    <row r="9" spans="1:11" s="593" customFormat="1" ht="13.5" customHeight="1">
      <c r="A9" s="593" t="s">
        <v>2733</v>
      </c>
      <c r="C9" s="817"/>
      <c r="D9" s="1407">
        <f>'Part VI-Revenues &amp; Expenses'!$L$58</f>
        <v>45</v>
      </c>
      <c r="E9" s="819">
        <f>C9*D9</f>
        <v>0</v>
      </c>
      <c r="G9" s="817"/>
      <c r="H9" s="818">
        <f>'Part VI-Revenues &amp; Expenses'!$L$62</f>
        <v>56</v>
      </c>
      <c r="I9" s="819">
        <f>G9*H9</f>
        <v>0</v>
      </c>
      <c r="K9" s="1414">
        <f>'Part IV-A-Uses of Funds'!$G$132</f>
        <v>16105048</v>
      </c>
    </row>
    <row r="10" spans="1:11" s="593" customFormat="1" ht="13.5" customHeight="1">
      <c r="A10" s="593" t="s">
        <v>2736</v>
      </c>
      <c r="C10" s="817"/>
      <c r="D10" s="1407">
        <f>'Part VI-Revenues &amp; Expenses'!$M$58</f>
        <v>14</v>
      </c>
      <c r="E10" s="819">
        <f>C10*D10</f>
        <v>0</v>
      </c>
      <c r="G10" s="817"/>
      <c r="H10" s="818">
        <f>'Part VI-Revenues &amp; Expenses'!$M$62</f>
        <v>18</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3643" t="s">
        <v>3567</v>
      </c>
    </row>
    <row r="12" spans="1:11" ht="13.5" customHeight="1" thickBot="1">
      <c r="A12" s="825" t="s">
        <v>3529</v>
      </c>
      <c r="D12" s="856">
        <f>SUM(D7:D11)</f>
        <v>67</v>
      </c>
      <c r="E12" s="826"/>
      <c r="G12" s="825" t="s">
        <v>1806</v>
      </c>
      <c r="H12" s="1413">
        <f>SUM(H7:H11)</f>
        <v>84</v>
      </c>
      <c r="I12" s="826"/>
      <c r="K12" s="3644"/>
    </row>
    <row r="13" spans="1:11" s="593" customFormat="1" ht="13.5" customHeight="1" thickBot="1">
      <c r="A13" s="825" t="s">
        <v>3104</v>
      </c>
      <c r="B13" s="827"/>
      <c r="E13" s="828">
        <f>SUM(E7:E11)</f>
        <v>0</v>
      </c>
      <c r="G13" s="825" t="s">
        <v>3340</v>
      </c>
      <c r="H13" s="827"/>
      <c r="I13" s="829">
        <f>SUM(I7:I11)</f>
        <v>0</v>
      </c>
      <c r="K13" s="1414">
        <f>'Part VIII-Threshold Criteria'!$P$63</f>
        <v>16792844</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4312</v>
      </c>
      <c r="F18" s="1416"/>
      <c r="G18" s="1416"/>
      <c r="H18" s="1416"/>
      <c r="I18" s="1416"/>
      <c r="K18" s="1392">
        <f>Overview!$E$13</f>
        <v>67</v>
      </c>
    </row>
    <row r="19" spans="1:11" s="593" customFormat="1" ht="13.5" customHeight="1">
      <c r="A19" s="593" t="s">
        <v>3105</v>
      </c>
      <c r="E19" s="1410"/>
      <c r="K19" s="680">
        <f>Overview!$C$13</f>
        <v>84</v>
      </c>
    </row>
    <row r="20" spans="1:11" ht="3" customHeight="1">
      <c r="A20" s="831"/>
      <c r="E20" s="1411"/>
    </row>
    <row r="21" spans="1:11" s="593" customFormat="1" ht="13.5" customHeight="1">
      <c r="A21" s="593" t="s">
        <v>3106</v>
      </c>
      <c r="E21" s="1409" t="s">
        <v>3565</v>
      </c>
      <c r="K21" s="832">
        <f>K18/K19</f>
        <v>0.79761904761904767</v>
      </c>
    </row>
    <row r="22" spans="1:11" ht="6.75" customHeight="1">
      <c r="E22" s="1411"/>
    </row>
    <row r="23" spans="1:11" s="593" customFormat="1" ht="13.5" customHeight="1">
      <c r="A23" s="593" t="s">
        <v>3528</v>
      </c>
      <c r="C23" s="833"/>
      <c r="E23" s="1409" t="s">
        <v>3109</v>
      </c>
      <c r="K23" s="680">
        <f>K9</f>
        <v>16105048</v>
      </c>
    </row>
    <row r="24" spans="1:11" s="593" customFormat="1" ht="13.5" customHeight="1">
      <c r="A24" s="834" t="s">
        <v>1773</v>
      </c>
      <c r="E24" s="1410"/>
      <c r="K24" s="820">
        <f>'Part IV-A-Uses of Funds'!$G$122</f>
        <v>273075</v>
      </c>
    </row>
    <row r="25" spans="1:11" s="593" customFormat="1" ht="13.5" customHeight="1">
      <c r="A25" s="834" t="s">
        <v>3110</v>
      </c>
      <c r="E25" s="1410"/>
      <c r="K25" s="835">
        <v>0</v>
      </c>
    </row>
    <row r="26" spans="1:11" s="593" customFormat="1" ht="13.5" customHeight="1">
      <c r="A26" s="834" t="s">
        <v>3110</v>
      </c>
      <c r="E26" s="1410"/>
      <c r="K26" s="835">
        <v>0</v>
      </c>
    </row>
    <row r="27" spans="1:11" ht="3" customHeight="1">
      <c r="A27" s="836"/>
      <c r="E27" s="1411"/>
      <c r="K27" s="837">
        <v>0</v>
      </c>
    </row>
    <row r="28" spans="1:11" s="827" customFormat="1" ht="13.5" customHeight="1">
      <c r="A28" s="827" t="s">
        <v>3111</v>
      </c>
      <c r="E28" s="1412"/>
      <c r="K28" s="838">
        <f>K23-SUM(K24:K27)</f>
        <v>15831973</v>
      </c>
    </row>
    <row r="29" spans="1:11" ht="6.75" customHeight="1">
      <c r="A29" s="831"/>
      <c r="E29" s="1411"/>
      <c r="K29" s="839"/>
    </row>
    <row r="30" spans="1:11" s="593" customFormat="1" ht="15" customHeight="1">
      <c r="A30" s="827" t="s">
        <v>3112</v>
      </c>
      <c r="E30" s="1409" t="s">
        <v>3572</v>
      </c>
      <c r="F30" s="840"/>
      <c r="G30" s="840"/>
      <c r="H30" s="840"/>
      <c r="I30" s="840"/>
      <c r="K30" s="841">
        <f>K21*K28</f>
        <v>12627883.226190478</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3000000</v>
      </c>
    </row>
    <row r="37" spans="1:11" s="593" customFormat="1" ht="9" customHeight="1" thickBot="1">
      <c r="E37" s="846"/>
      <c r="F37" s="846"/>
      <c r="G37" s="846"/>
      <c r="H37" s="846"/>
      <c r="K37" s="847"/>
    </row>
    <row r="38" spans="1:11" s="593" customFormat="1" ht="15.75" customHeight="1">
      <c r="A38" s="3645" t="s">
        <v>3570</v>
      </c>
      <c r="B38" s="3645"/>
      <c r="C38" s="3645"/>
      <c r="D38" s="3646" t="s">
        <v>3107</v>
      </c>
      <c r="E38" s="3646"/>
      <c r="F38" s="3646" t="s">
        <v>3108</v>
      </c>
      <c r="G38" s="3646"/>
      <c r="H38" s="3646"/>
      <c r="I38" s="1470" t="s">
        <v>2849</v>
      </c>
      <c r="K38" s="3647">
        <f>ROUND((D39/F39)*I39,0)</f>
        <v>16</v>
      </c>
    </row>
    <row r="39" spans="1:11" s="593" customFormat="1" ht="15.75" customHeight="1" thickBot="1">
      <c r="A39" s="3645"/>
      <c r="B39" s="3645"/>
      <c r="C39" s="3645"/>
      <c r="D39" s="3649">
        <f>K36</f>
        <v>3000000</v>
      </c>
      <c r="E39" s="3649"/>
      <c r="F39" s="3650">
        <f>K28</f>
        <v>15831973</v>
      </c>
      <c r="G39" s="3650"/>
      <c r="H39" s="3650"/>
      <c r="I39" s="848">
        <f>K19</f>
        <v>84</v>
      </c>
      <c r="K39" s="3648"/>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4" t="str">
        <f>CONCATENATE(Overview!E8,"  ",Overview!C8)</f>
        <v>2018-021  Grayling Place</v>
      </c>
      <c r="B1" s="3654"/>
      <c r="C1" s="3654"/>
      <c r="D1" s="3654"/>
      <c r="E1" s="3654"/>
      <c r="F1" s="3654"/>
      <c r="G1" s="3654"/>
      <c r="H1" s="3654"/>
    </row>
    <row r="3" spans="1:13" ht="12" customHeight="1">
      <c r="A3" s="3655" t="s">
        <v>3531</v>
      </c>
      <c r="B3" s="3655"/>
      <c r="C3" s="3655"/>
      <c r="D3" s="3655"/>
      <c r="E3" s="3655"/>
      <c r="F3" s="3655"/>
      <c r="G3" s="3655"/>
      <c r="H3" s="3655"/>
      <c r="I3" s="1474"/>
      <c r="J3" s="3657" t="s">
        <v>4313</v>
      </c>
      <c r="K3" s="3657"/>
      <c r="L3" s="882"/>
      <c r="M3" s="882"/>
    </row>
    <row r="4" spans="1:13">
      <c r="J4" s="3657"/>
      <c r="K4" s="3657"/>
    </row>
    <row r="5" spans="1:13" ht="12" customHeight="1">
      <c r="A5" s="809">
        <v>1</v>
      </c>
      <c r="C5" s="809" t="s">
        <v>3114</v>
      </c>
      <c r="E5" s="864" t="str">
        <f>Overview!H9</f>
        <v>Grayling Place, LP</v>
      </c>
      <c r="J5" s="3657"/>
      <c r="K5" s="3657"/>
    </row>
    <row r="6" spans="1:13" ht="3" customHeight="1">
      <c r="H6" s="826"/>
      <c r="J6" s="3657"/>
      <c r="K6" s="3657"/>
    </row>
    <row r="7" spans="1:13" ht="12" customHeight="1">
      <c r="A7" s="809">
        <v>2</v>
      </c>
      <c r="C7" s="809" t="s">
        <v>3115</v>
      </c>
      <c r="E7" s="864" t="str">
        <f>'Part II-Development Team'!H6</f>
        <v>3825 Paces Walk SE, Suite 100</v>
      </c>
      <c r="J7" s="3657"/>
      <c r="K7" s="3657"/>
    </row>
    <row r="8" spans="1:13" ht="12" customHeight="1">
      <c r="E8" s="864" t="str">
        <f>+'Part II-Development Team'!H7&amp;","&amp;" "&amp;'Part II-Development Team'!H8&amp;" "&amp;LEFT('Part II-Development Team'!J8,5)</f>
        <v>Atlanta, GA 30339</v>
      </c>
      <c r="J8" s="3657"/>
      <c r="K8" s="3657"/>
    </row>
    <row r="9" spans="1:13" ht="12" customHeight="1">
      <c r="C9" s="809" t="s">
        <v>3116</v>
      </c>
      <c r="E9" s="3656" t="str">
        <f>'Part II-Development Team'!L7</f>
        <v>TBD</v>
      </c>
      <c r="F9" s="3656"/>
      <c r="J9" s="3657"/>
      <c r="K9" s="3657"/>
    </row>
    <row r="10" spans="1:13" ht="12" customHeight="1">
      <c r="C10" s="809" t="s">
        <v>3117</v>
      </c>
      <c r="E10" s="864" t="str">
        <f>'Part II-Development Team'!Q5</f>
        <v>Kevin Buckner</v>
      </c>
    </row>
    <row r="11" spans="1:13" ht="12" customHeight="1">
      <c r="C11" s="809" t="s">
        <v>4318</v>
      </c>
      <c r="E11" s="864" t="str">
        <f>'Part II-Development Team'!L9</f>
        <v>kbuckner@tbgresidential.com</v>
      </c>
    </row>
    <row r="12" spans="1:13" ht="12" customHeight="1">
      <c r="C12" s="809" t="s">
        <v>4314</v>
      </c>
      <c r="E12" s="1475">
        <f>'Part II-Development Team'!H9</f>
        <v>6783245540</v>
      </c>
    </row>
    <row r="13" spans="1:13" ht="12" customHeight="1">
      <c r="C13" s="809" t="s">
        <v>4317</v>
      </c>
      <c r="E13" s="1475">
        <f>'Part II-Development Team'!Q7</f>
        <v>6783245550</v>
      </c>
    </row>
    <row r="14" spans="1:13" ht="3" customHeight="1"/>
    <row r="15" spans="1:13" ht="12" customHeight="1">
      <c r="A15" s="809">
        <v>3</v>
      </c>
      <c r="C15" s="809" t="s">
        <v>3118</v>
      </c>
      <c r="E15" s="864" t="str">
        <f>Overview!C8</f>
        <v>Grayling Place</v>
      </c>
    </row>
    <row r="16" spans="1:13" ht="12" customHeight="1">
      <c r="C16" s="809" t="s">
        <v>3119</v>
      </c>
      <c r="E16" s="864" t="str">
        <f>'Part I-Project Information'!$F$35</f>
        <v>2551 Wynnton Road</v>
      </c>
    </row>
    <row r="17" spans="1:8" ht="12" customHeight="1">
      <c r="E17" s="864" t="str">
        <f>+'Part I-Project Information'!$F$38&amp;","&amp;" GA "&amp;LEFT('Part I-Project Information'!$J$38,5)</f>
        <v>Columbus, GA 31906</v>
      </c>
    </row>
    <row r="18" spans="1:8" ht="3" customHeight="1"/>
    <row r="19" spans="1:8" ht="12" customHeight="1">
      <c r="A19" s="809">
        <v>4</v>
      </c>
      <c r="C19" s="809" t="s">
        <v>3120</v>
      </c>
      <c r="E19" s="864" t="str">
        <f>'Part II-Development Team'!H92</f>
        <v>Buckner Finance Company DBA TBG Residential</v>
      </c>
    </row>
    <row r="20" spans="1:8" ht="12" customHeight="1">
      <c r="C20" s="809" t="s">
        <v>3121</v>
      </c>
      <c r="E20" s="864" t="str">
        <f>'Part II-Development Team'!H93</f>
        <v>3825 Paces Walk SE, Suite 100</v>
      </c>
    </row>
    <row r="21" spans="1:8" ht="12" customHeight="1">
      <c r="E21" s="864" t="str">
        <f>+'Part II-Development Team'!H94&amp;","&amp;" "&amp;'Part II-Development Team'!H95&amp;" "&amp;LEFT('Part II-Development Team'!L95,5)</f>
        <v>Atlanta, GA 30339</v>
      </c>
    </row>
    <row r="22" spans="1:8" ht="12" customHeight="1">
      <c r="C22" s="809" t="s">
        <v>4314</v>
      </c>
      <c r="E22" s="1475">
        <f>'Part II-Development Team'!H96</f>
        <v>6783245540</v>
      </c>
    </row>
    <row r="23" spans="1:8" ht="12" customHeight="1">
      <c r="C23" s="809" t="s">
        <v>4317</v>
      </c>
      <c r="E23" s="1475">
        <f>'Part II-Development Team'!Q94</f>
        <v>6783245550</v>
      </c>
    </row>
    <row r="24" spans="1:8" ht="12" customHeight="1">
      <c r="C24" s="809" t="s">
        <v>4318</v>
      </c>
      <c r="E24" s="1475" t="str">
        <f>'Part II-Development Team'!L96</f>
        <v>kbuckner@tbgresidential.com</v>
      </c>
    </row>
    <row r="25" spans="1:8" ht="3" customHeight="1">
      <c r="E25" s="864"/>
    </row>
    <row r="26" spans="1:8" ht="12" customHeight="1">
      <c r="A26" s="809">
        <v>5</v>
      </c>
      <c r="C26" s="809" t="s">
        <v>3122</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3123</v>
      </c>
      <c r="E30" s="809" t="s">
        <v>2426</v>
      </c>
      <c r="F30" s="1476">
        <f>'Part III-Sources of Funds'!L19</f>
        <v>11644384</v>
      </c>
      <c r="G30" s="809" t="s">
        <v>3124</v>
      </c>
    </row>
    <row r="31" spans="1:8" ht="12" customHeight="1">
      <c r="F31" s="1476" t="s">
        <v>3125</v>
      </c>
      <c r="G31" s="809" t="s">
        <v>3126</v>
      </c>
    </row>
    <row r="32" spans="1:8" ht="3" customHeight="1">
      <c r="F32" s="854"/>
    </row>
    <row r="33" spans="1:7" ht="12" customHeight="1">
      <c r="A33" s="809">
        <v>7</v>
      </c>
      <c r="C33" s="809" t="s">
        <v>3127</v>
      </c>
      <c r="F33" s="1477">
        <v>0</v>
      </c>
    </row>
    <row r="34" spans="1:7" ht="3" customHeight="1">
      <c r="F34" s="854"/>
    </row>
    <row r="35" spans="1:7" ht="12" customHeight="1">
      <c r="A35" s="809">
        <v>8</v>
      </c>
      <c r="C35" s="809" t="s">
        <v>3128</v>
      </c>
      <c r="E35" s="809" t="s">
        <v>2426</v>
      </c>
      <c r="F35" s="1478">
        <v>0.01</v>
      </c>
    </row>
    <row r="36" spans="1:7" ht="3" customHeight="1">
      <c r="F36" s="1477"/>
    </row>
    <row r="37" spans="1:7" ht="12" customHeight="1">
      <c r="A37" s="809">
        <v>9</v>
      </c>
      <c r="C37" s="809" t="s">
        <v>3129</v>
      </c>
      <c r="F37" s="1479">
        <v>24</v>
      </c>
      <c r="G37" s="809" t="s">
        <v>3130</v>
      </c>
    </row>
    <row r="38" spans="1:7" ht="3" customHeight="1">
      <c r="F38" s="1477"/>
    </row>
    <row r="39" spans="1:7" ht="12" customHeight="1">
      <c r="A39" s="809">
        <v>10</v>
      </c>
      <c r="C39" s="809" t="s">
        <v>3131</v>
      </c>
      <c r="E39" s="809" t="s">
        <v>2426</v>
      </c>
      <c r="F39" s="854">
        <f>'Part III-Sources of Funds'!L37*12</f>
        <v>180</v>
      </c>
      <c r="G39" s="809" t="s">
        <v>3130</v>
      </c>
    </row>
    <row r="40" spans="1:7" ht="3" customHeight="1">
      <c r="F40" s="854"/>
    </row>
    <row r="41" spans="1:7" ht="12" customHeight="1">
      <c r="A41" s="809">
        <v>11</v>
      </c>
      <c r="C41" s="809" t="s">
        <v>3132</v>
      </c>
      <c r="F41" s="1480">
        <v>24</v>
      </c>
      <c r="G41" s="809" t="s">
        <v>3130</v>
      </c>
    </row>
    <row r="42" spans="1:7" ht="3" customHeight="1"/>
    <row r="43" spans="1:7" ht="12" customHeight="1">
      <c r="A43" s="809">
        <v>12</v>
      </c>
      <c r="C43" s="809" t="s">
        <v>3133</v>
      </c>
      <c r="F43" s="1481" t="s">
        <v>3134</v>
      </c>
    </row>
    <row r="44" spans="1:7" ht="3" customHeight="1"/>
    <row r="45" spans="1:7" ht="12" customHeight="1">
      <c r="A45" s="809">
        <v>13</v>
      </c>
      <c r="C45" s="809" t="s">
        <v>3135</v>
      </c>
      <c r="E45" s="809" t="s">
        <v>2426</v>
      </c>
      <c r="F45" s="864" t="s">
        <v>3136</v>
      </c>
    </row>
    <row r="46" spans="1:7" ht="3" customHeight="1">
      <c r="F46" s="826"/>
    </row>
    <row r="47" spans="1:7" ht="12" customHeight="1">
      <c r="A47" s="809">
        <v>14</v>
      </c>
      <c r="C47" s="809" t="s">
        <v>3137</v>
      </c>
      <c r="E47" s="864" t="str">
        <f>'Part II-Development Team'!H14</f>
        <v>TBG Grayling Place, LLC</v>
      </c>
    </row>
    <row r="48" spans="1:7" ht="3" customHeight="1">
      <c r="E48" s="864"/>
    </row>
    <row r="49" spans="1:7" ht="12" customHeight="1">
      <c r="A49" s="809">
        <v>15</v>
      </c>
      <c r="C49" s="809" t="s">
        <v>4320</v>
      </c>
      <c r="E49" s="864" t="str">
        <f>'Part II-Development Team'!Q98</f>
        <v>Althea Broughton</v>
      </c>
      <c r="G49" s="864" t="str">
        <f>'Part II-Development Team'!H98</f>
        <v>Arnall Golden &amp; Gregory</v>
      </c>
    </row>
    <row r="50" spans="1:7" ht="12" customHeight="1">
      <c r="C50" s="809" t="s">
        <v>3138</v>
      </c>
      <c r="E50" s="864">
        <f>'Part II-Development Team'!O102</f>
        <v>0</v>
      </c>
      <c r="F50" s="854"/>
    </row>
    <row r="51" spans="1:7" ht="3" customHeight="1">
      <c r="F51" s="854"/>
    </row>
    <row r="52" spans="1:7" ht="12" customHeight="1">
      <c r="A52" s="809">
        <v>16</v>
      </c>
      <c r="C52" s="809" t="s">
        <v>3139</v>
      </c>
      <c r="F52" s="1480">
        <f>Overview!C13</f>
        <v>84</v>
      </c>
    </row>
    <row r="53" spans="1:7" ht="3" customHeight="1">
      <c r="F53" s="854"/>
    </row>
    <row r="54" spans="1:7" ht="12" customHeight="1">
      <c r="A54" s="882">
        <v>17</v>
      </c>
      <c r="B54" s="882"/>
      <c r="C54" s="882" t="s">
        <v>3140</v>
      </c>
      <c r="D54" s="882"/>
      <c r="E54" s="882"/>
      <c r="F54" s="1482">
        <f>'Subsidy Layering WS'!K18</f>
        <v>67</v>
      </c>
      <c r="G54" s="882"/>
    </row>
    <row r="55" spans="1:7" ht="3" customHeight="1">
      <c r="F55" s="854"/>
    </row>
    <row r="56" spans="1:7" ht="12" customHeight="1">
      <c r="A56" s="809">
        <v>18</v>
      </c>
      <c r="C56" s="809" t="s">
        <v>3141</v>
      </c>
      <c r="F56" s="1482">
        <f>'Part VI-Revenues &amp; Expenses'!O61</f>
        <v>0</v>
      </c>
      <c r="G56" s="809" t="s">
        <v>4319</v>
      </c>
    </row>
    <row r="57" spans="1:7" ht="3" customHeight="1">
      <c r="F57" s="854"/>
    </row>
    <row r="58" spans="1:7" ht="12" customHeight="1">
      <c r="A58" s="809">
        <v>19</v>
      </c>
      <c r="C58" s="809" t="s">
        <v>3142</v>
      </c>
      <c r="F58" s="1483"/>
      <c r="G58" s="809" t="s">
        <v>3532</v>
      </c>
    </row>
    <row r="59" spans="1:7" ht="3" customHeight="1">
      <c r="F59" s="854"/>
    </row>
    <row r="60" spans="1:7" ht="12" customHeight="1">
      <c r="A60" s="809">
        <v>20</v>
      </c>
      <c r="C60" s="809" t="s">
        <v>3143</v>
      </c>
      <c r="F60" s="1484" t="s">
        <v>979</v>
      </c>
      <c r="G60" s="882"/>
    </row>
    <row r="61" spans="1:7" ht="3" customHeight="1"/>
    <row r="62" spans="1:7" ht="12" customHeight="1">
      <c r="A62" s="809">
        <v>21</v>
      </c>
      <c r="C62" s="809" t="s">
        <v>3547</v>
      </c>
      <c r="E62" s="1485" t="s">
        <v>3533</v>
      </c>
      <c r="F62" s="1486" t="s">
        <v>3534</v>
      </c>
      <c r="G62" s="1485" t="s">
        <v>3144</v>
      </c>
    </row>
    <row r="63" spans="1:7" ht="12" customHeight="1">
      <c r="E63" s="1485" t="s">
        <v>3533</v>
      </c>
      <c r="F63" s="1486" t="s">
        <v>3534</v>
      </c>
      <c r="G63" s="1485"/>
    </row>
    <row r="64" spans="1:7" ht="3" customHeight="1"/>
    <row r="65" spans="1:7" ht="12" customHeight="1">
      <c r="A65" s="809">
        <v>22</v>
      </c>
      <c r="C65" s="809" t="s">
        <v>3145</v>
      </c>
      <c r="E65" s="864" t="str">
        <f>Overview!H9</f>
        <v>Grayling Place, LP</v>
      </c>
    </row>
    <row r="66" spans="1:7" ht="3" customHeight="1"/>
    <row r="67" spans="1:7" ht="12" customHeight="1">
      <c r="A67" s="809">
        <v>23</v>
      </c>
      <c r="C67" s="809" t="s">
        <v>3146</v>
      </c>
      <c r="F67" s="854" t="s">
        <v>3147</v>
      </c>
    </row>
    <row r="68" spans="1:7" ht="3" customHeight="1"/>
    <row r="69" spans="1:7" ht="12" customHeight="1">
      <c r="A69" s="809">
        <v>24</v>
      </c>
      <c r="C69" s="809" t="s">
        <v>3148</v>
      </c>
      <c r="E69" s="809" t="s">
        <v>2426</v>
      </c>
      <c r="F69" s="854">
        <v>20</v>
      </c>
      <c r="G69" s="809" t="s">
        <v>2486</v>
      </c>
    </row>
    <row r="70" spans="1:7" ht="3" customHeight="1"/>
    <row r="71" spans="1:7" ht="12" customHeight="1">
      <c r="A71" s="809">
        <v>25</v>
      </c>
      <c r="C71" s="809" t="s">
        <v>3149</v>
      </c>
      <c r="F71" s="1487">
        <f>'Part IV-A-Uses of Funds'!$G$122</f>
        <v>273075</v>
      </c>
    </row>
    <row r="72" spans="1:7" ht="3" customHeight="1">
      <c r="F72" s="1487"/>
    </row>
    <row r="73" spans="1:7" ht="12" customHeight="1">
      <c r="A73" s="809">
        <v>26</v>
      </c>
      <c r="C73" s="809" t="s">
        <v>3150</v>
      </c>
      <c r="F73" s="1487">
        <f>'Part IV-A-Uses of Funds'!$G$123</f>
        <v>0</v>
      </c>
    </row>
    <row r="74" spans="1:7" ht="3" customHeight="1">
      <c r="F74" s="1487"/>
    </row>
    <row r="75" spans="1:7" ht="12" customHeight="1">
      <c r="A75" s="809">
        <v>27</v>
      </c>
      <c r="C75" s="809" t="s">
        <v>3151</v>
      </c>
      <c r="F75" s="1488">
        <f>'Part IV-A-Uses of Funds'!$G$121</f>
        <v>88206</v>
      </c>
    </row>
    <row r="76" spans="1:7" ht="3" customHeight="1">
      <c r="F76" s="1487"/>
    </row>
    <row r="77" spans="1:7" ht="12" customHeight="1">
      <c r="A77" s="809">
        <v>28</v>
      </c>
      <c r="C77" s="809" t="s">
        <v>3152</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72" t="s">
        <v>3342</v>
      </c>
      <c r="B1" s="3672"/>
      <c r="C1" s="3672"/>
      <c r="D1" s="3672"/>
      <c r="E1" s="3672"/>
      <c r="F1" s="3672"/>
      <c r="G1" s="3672"/>
      <c r="H1" s="3672"/>
      <c r="I1" s="3672"/>
      <c r="J1" s="3672"/>
    </row>
    <row r="2" spans="1:13" ht="15">
      <c r="A2" s="3672" t="str">
        <f>Overview!E8&amp;"  "&amp;Overview!C8</f>
        <v>2018-021  Grayling Place</v>
      </c>
      <c r="B2" s="3672"/>
      <c r="C2" s="3672"/>
      <c r="D2" s="3672"/>
      <c r="E2" s="3672"/>
      <c r="F2" s="3672"/>
      <c r="G2" s="3672"/>
      <c r="H2" s="3672"/>
      <c r="I2" s="3672"/>
      <c r="J2" s="3672"/>
    </row>
    <row r="3" spans="1:13" ht="6" customHeight="1">
      <c r="K3" s="3657" t="s">
        <v>4313</v>
      </c>
      <c r="L3" s="3657"/>
      <c r="M3" s="3657"/>
    </row>
    <row r="4" spans="1:13" ht="12" customHeight="1">
      <c r="A4" s="850" t="s">
        <v>3153</v>
      </c>
      <c r="K4" s="3657"/>
      <c r="L4" s="3657"/>
      <c r="M4" s="3657"/>
    </row>
    <row r="5" spans="1:13" ht="12" customHeight="1">
      <c r="A5" s="809" t="s">
        <v>3154</v>
      </c>
      <c r="C5" s="851" t="str">
        <f>'Subsidy Layering Memo'!D6</f>
        <v>(Underwriter)</v>
      </c>
      <c r="I5" s="851"/>
      <c r="K5" s="3657"/>
      <c r="L5" s="3657"/>
      <c r="M5" s="3657"/>
    </row>
    <row r="6" spans="1:13" ht="6" customHeight="1">
      <c r="C6" s="746"/>
      <c r="D6" s="851"/>
      <c r="I6" s="851"/>
      <c r="K6" s="3657"/>
      <c r="L6" s="3657"/>
      <c r="M6" s="3657"/>
    </row>
    <row r="7" spans="1:13" ht="12" customHeight="1">
      <c r="A7" s="850" t="s">
        <v>3155</v>
      </c>
      <c r="C7" s="746"/>
      <c r="D7" s="851"/>
      <c r="I7" s="851"/>
      <c r="K7" s="3657"/>
      <c r="L7" s="3657"/>
      <c r="M7" s="3657"/>
    </row>
    <row r="8" spans="1:13" ht="12" customHeight="1">
      <c r="A8" s="809" t="s">
        <v>3156</v>
      </c>
      <c r="C8" s="851" t="str">
        <f>Overview!$H$9</f>
        <v>Grayling Place, LP</v>
      </c>
      <c r="I8" s="851"/>
      <c r="K8" s="3657"/>
      <c r="L8" s="3657"/>
      <c r="M8" s="3657"/>
    </row>
    <row r="9" spans="1:13" ht="3" customHeight="1">
      <c r="C9" s="746"/>
      <c r="D9" s="851"/>
      <c r="I9" s="851"/>
    </row>
    <row r="10" spans="1:13" ht="12" customHeight="1">
      <c r="A10" s="809" t="s">
        <v>3157</v>
      </c>
      <c r="C10" s="1419" t="s">
        <v>1784</v>
      </c>
      <c r="I10" s="851"/>
    </row>
    <row r="11" spans="1:13" ht="12" customHeight="1">
      <c r="C11" s="1419" t="s">
        <v>1784</v>
      </c>
      <c r="I11" s="851"/>
    </row>
    <row r="12" spans="1:13" ht="12" customHeight="1">
      <c r="C12" s="851" t="s">
        <v>2697</v>
      </c>
      <c r="D12" s="872" t="s">
        <v>1784</v>
      </c>
      <c r="I12" s="851"/>
    </row>
    <row r="13" spans="1:13" ht="12" customHeight="1">
      <c r="C13" s="851" t="s">
        <v>3158</v>
      </c>
      <c r="D13" s="3665"/>
      <c r="E13" s="3665"/>
      <c r="F13" s="3665"/>
      <c r="G13" s="3665"/>
      <c r="H13" s="3665"/>
      <c r="I13" s="3665"/>
      <c r="J13" s="3665"/>
    </row>
    <row r="14" spans="1:13" ht="3" customHeight="1">
      <c r="G14" s="746"/>
      <c r="H14" s="851"/>
      <c r="I14" s="851"/>
    </row>
    <row r="15" spans="1:13" ht="12" customHeight="1">
      <c r="A15" s="809" t="s">
        <v>3159</v>
      </c>
      <c r="C15" s="853" t="str">
        <f>'Preview term'!E10</f>
        <v>Kevin Buckner</v>
      </c>
      <c r="G15" s="746"/>
      <c r="I15" s="851"/>
    </row>
    <row r="16" spans="1:13" ht="12" customHeight="1">
      <c r="A16" s="864" t="s">
        <v>4529</v>
      </c>
      <c r="C16" s="853" t="str">
        <f>'Part II-Development Team'!Q6</f>
        <v>Manager</v>
      </c>
      <c r="G16" s="746"/>
      <c r="I16" s="851"/>
    </row>
    <row r="17" spans="1:9" ht="3" customHeight="1">
      <c r="G17" s="746"/>
      <c r="H17" s="851"/>
      <c r="I17" s="851"/>
    </row>
    <row r="18" spans="1:9" ht="12" customHeight="1">
      <c r="A18" s="809" t="s">
        <v>3160</v>
      </c>
      <c r="C18" s="853" t="str">
        <f>'Preview term'!$E$7</f>
        <v>3825 Paces Walk SE, Suite 100</v>
      </c>
      <c r="G18" s="746"/>
      <c r="I18" s="851"/>
    </row>
    <row r="19" spans="1:9" ht="12" customHeight="1">
      <c r="C19" s="853" t="str">
        <f>'Preview term'!$E$8</f>
        <v>Atlanta, GA 30339</v>
      </c>
      <c r="G19" s="746"/>
      <c r="I19" s="851"/>
    </row>
    <row r="20" spans="1:9" ht="3" customHeight="1">
      <c r="G20" s="746"/>
      <c r="H20" s="851"/>
      <c r="I20" s="851"/>
    </row>
    <row r="21" spans="1:9" ht="12" customHeight="1">
      <c r="A21" s="809" t="s">
        <v>3161</v>
      </c>
      <c r="C21" s="853" t="str">
        <f>CONCATENATE('Preview term'!E49," of  ",'Preview term'!G49)</f>
        <v>Althea Broughton of  Arnall Golden &amp; Gregory</v>
      </c>
      <c r="G21" s="746"/>
      <c r="I21" s="851"/>
    </row>
    <row r="22" spans="1:9" ht="3" customHeight="1">
      <c r="C22" s="853"/>
      <c r="G22" s="746"/>
      <c r="I22" s="851"/>
    </row>
    <row r="23" spans="1:9" ht="12" customHeight="1">
      <c r="A23" s="809" t="s">
        <v>3162</v>
      </c>
      <c r="C23" s="853">
        <f>'Preview term'!E12</f>
        <v>6783245540</v>
      </c>
      <c r="G23" s="746"/>
      <c r="I23" s="851"/>
    </row>
    <row r="24" spans="1:9" ht="3" customHeight="1">
      <c r="C24" s="853"/>
      <c r="G24" s="746"/>
      <c r="I24" s="851"/>
    </row>
    <row r="25" spans="1:9" ht="12" customHeight="1">
      <c r="A25" s="809" t="s">
        <v>3163</v>
      </c>
      <c r="C25" s="1421" t="str">
        <f>'Preview term'!E11</f>
        <v>kbuckner@tbgresidential.com</v>
      </c>
      <c r="G25" s="746"/>
    </row>
    <row r="26" spans="1:9" ht="6" customHeight="1">
      <c r="G26" s="746"/>
      <c r="H26" s="851"/>
      <c r="I26" s="851"/>
    </row>
    <row r="27" spans="1:9" ht="12" customHeight="1">
      <c r="A27" s="850" t="s">
        <v>3164</v>
      </c>
      <c r="G27" s="746"/>
      <c r="H27" s="851"/>
      <c r="I27" s="851"/>
    </row>
    <row r="28" spans="1:9" ht="12" customHeight="1">
      <c r="A28" s="809" t="s">
        <v>3165</v>
      </c>
      <c r="C28" s="853" t="str">
        <f>Overview!$C$8</f>
        <v>Grayling Place</v>
      </c>
      <c r="I28" s="851"/>
    </row>
    <row r="29" spans="1:9" ht="3" customHeight="1">
      <c r="C29" s="853"/>
      <c r="I29" s="851"/>
    </row>
    <row r="30" spans="1:9" ht="12" customHeight="1">
      <c r="A30" s="809" t="s">
        <v>3166</v>
      </c>
      <c r="C30" s="853" t="str">
        <f>'Preview term'!E16</f>
        <v>2551 Wynnton Road</v>
      </c>
      <c r="I30" s="851"/>
    </row>
    <row r="31" spans="1:9">
      <c r="C31" s="851" t="str">
        <f>'Preview term'!E17</f>
        <v>Columbus, GA 31906</v>
      </c>
      <c r="I31" s="851"/>
    </row>
    <row r="32" spans="1:9" ht="3" customHeight="1">
      <c r="C32" s="746"/>
      <c r="D32" s="746"/>
      <c r="I32" s="746"/>
    </row>
    <row r="33" spans="1:10" ht="12" customHeight="1">
      <c r="A33" s="809" t="s">
        <v>3167</v>
      </c>
      <c r="C33" s="746" t="s">
        <v>3168</v>
      </c>
      <c r="D33" s="1420">
        <f>'Preview term'!F54</f>
        <v>67</v>
      </c>
      <c r="I33" s="746"/>
    </row>
    <row r="34" spans="1:10" ht="12" customHeight="1">
      <c r="C34" s="746" t="s">
        <v>3169</v>
      </c>
      <c r="D34" s="855">
        <f>'Subsidy Layering WS'!H12-'Subsidy Layering WS'!D12</f>
        <v>17</v>
      </c>
      <c r="I34" s="746"/>
    </row>
    <row r="35" spans="1:10" ht="12" customHeight="1">
      <c r="C35" s="746" t="s">
        <v>3170</v>
      </c>
      <c r="D35" s="856">
        <f>SUM(D33:D34)</f>
        <v>84</v>
      </c>
      <c r="I35" s="746"/>
    </row>
    <row r="36" spans="1:10" ht="3" customHeight="1">
      <c r="C36" s="746"/>
      <c r="D36" s="746"/>
      <c r="I36" s="746"/>
    </row>
    <row r="37" spans="1:10" ht="12" customHeight="1">
      <c r="A37" s="809" t="s">
        <v>3171</v>
      </c>
      <c r="C37" s="1485" t="s">
        <v>1784</v>
      </c>
      <c r="D37" s="1418">
        <f>'Preview term'!F56</f>
        <v>0</v>
      </c>
      <c r="E37" s="746" t="s">
        <v>3172</v>
      </c>
      <c r="I37" s="746"/>
    </row>
    <row r="38" spans="1:10" ht="3" customHeight="1">
      <c r="G38" s="857"/>
      <c r="H38" s="746"/>
      <c r="I38" s="746"/>
    </row>
    <row r="39" spans="1:10" ht="25.5" customHeight="1">
      <c r="A39" s="858" t="s">
        <v>3173</v>
      </c>
      <c r="C39" s="3673"/>
      <c r="D39" s="3673"/>
      <c r="E39" s="3673"/>
      <c r="F39" s="3673"/>
      <c r="G39" s="3673"/>
      <c r="H39" s="3673"/>
      <c r="I39" s="3673"/>
      <c r="J39" s="3673"/>
    </row>
    <row r="40" spans="1:10" ht="3" customHeight="1">
      <c r="G40" s="746"/>
      <c r="H40" s="746"/>
      <c r="I40" s="746"/>
    </row>
    <row r="41" spans="1:10" ht="25.5" customHeight="1">
      <c r="A41" s="858" t="s">
        <v>3174</v>
      </c>
      <c r="C41" s="3674" t="s">
        <v>3535</v>
      </c>
      <c r="D41" s="3674"/>
      <c r="E41" s="3674"/>
      <c r="F41" s="3674"/>
      <c r="G41" s="3674"/>
      <c r="H41" s="3674"/>
      <c r="I41" s="3674"/>
      <c r="J41" s="3674"/>
    </row>
    <row r="42" spans="1:10" ht="3" customHeight="1">
      <c r="C42" s="591"/>
      <c r="D42" s="591"/>
      <c r="E42" s="591"/>
      <c r="F42" s="591"/>
      <c r="G42" s="591"/>
      <c r="H42" s="592"/>
      <c r="I42" s="593"/>
      <c r="J42" s="592"/>
    </row>
    <row r="43" spans="1:10" ht="12" customHeight="1">
      <c r="A43" s="809" t="s">
        <v>3175</v>
      </c>
      <c r="C43" s="678" t="str">
        <f>'Part I-Project Information'!J39</f>
        <v>Muscogee</v>
      </c>
      <c r="D43" s="591"/>
      <c r="F43" s="592"/>
      <c r="I43" s="593"/>
      <c r="J43" s="592"/>
    </row>
    <row r="44" spans="1:10" ht="3" customHeight="1">
      <c r="C44" s="591"/>
      <c r="D44" s="591"/>
      <c r="E44" s="591"/>
      <c r="F44" s="592"/>
      <c r="I44" s="593"/>
      <c r="J44" s="592"/>
    </row>
    <row r="45" spans="1:10" ht="12" customHeight="1">
      <c r="A45" s="809" t="s">
        <v>3176</v>
      </c>
      <c r="C45" s="872" t="s">
        <v>1784</v>
      </c>
      <c r="I45" s="593"/>
      <c r="J45" s="592"/>
    </row>
    <row r="46" spans="1:10" ht="3" customHeight="1">
      <c r="C46" s="746"/>
      <c r="D46" s="859"/>
      <c r="I46" s="746"/>
    </row>
    <row r="47" spans="1:10" ht="12" customHeight="1">
      <c r="A47" s="809" t="s">
        <v>3177</v>
      </c>
      <c r="C47" s="860"/>
      <c r="I47" s="861"/>
      <c r="J47" s="861"/>
    </row>
    <row r="48" spans="1:10" ht="3" customHeight="1">
      <c r="D48" s="861"/>
      <c r="E48" s="861"/>
      <c r="F48" s="861"/>
      <c r="G48" s="862"/>
      <c r="H48" s="746"/>
      <c r="I48" s="861"/>
      <c r="J48" s="861"/>
    </row>
    <row r="49" spans="1:10" ht="12" customHeight="1">
      <c r="A49" s="746"/>
      <c r="B49" s="809" t="s">
        <v>3178</v>
      </c>
      <c r="C49" s="3674" t="s">
        <v>580</v>
      </c>
      <c r="D49" s="3674"/>
      <c r="E49" s="3674"/>
      <c r="F49" s="3674"/>
      <c r="G49" s="3674"/>
      <c r="H49" s="3674"/>
      <c r="I49" s="3674"/>
      <c r="J49" s="3674"/>
    </row>
    <row r="50" spans="1:10" ht="12" customHeight="1">
      <c r="C50" s="3669" t="s">
        <v>1821</v>
      </c>
      <c r="D50" s="3669"/>
      <c r="E50" s="3669"/>
      <c r="F50" s="3669"/>
      <c r="G50" s="3669"/>
      <c r="H50" s="3669"/>
      <c r="I50" s="3669"/>
      <c r="J50" s="3669"/>
    </row>
    <row r="51" spans="1:10" ht="3" customHeight="1">
      <c r="D51" s="861"/>
      <c r="E51" s="861"/>
      <c r="F51" s="861"/>
      <c r="G51" s="862"/>
      <c r="H51" s="746"/>
      <c r="I51" s="861"/>
      <c r="J51" s="861"/>
    </row>
    <row r="52" spans="1:10" ht="12" customHeight="1">
      <c r="A52" s="858" t="s">
        <v>3179</v>
      </c>
      <c r="B52" s="858"/>
      <c r="C52" s="863" t="s">
        <v>3180</v>
      </c>
      <c r="D52" s="863" t="s">
        <v>3536</v>
      </c>
      <c r="E52" s="3670"/>
      <c r="F52" s="3670"/>
      <c r="G52" s="3670"/>
      <c r="H52" s="3670"/>
      <c r="I52" s="3670"/>
      <c r="J52" s="3670"/>
    </row>
    <row r="53" spans="1:10" ht="12" customHeight="1">
      <c r="A53" s="858"/>
      <c r="B53" s="858"/>
      <c r="C53" s="858"/>
      <c r="D53" s="863" t="s">
        <v>3537</v>
      </c>
      <c r="E53" s="3671"/>
      <c r="F53" s="3671"/>
      <c r="G53" s="3671"/>
      <c r="H53" s="3671"/>
      <c r="I53" s="3671"/>
      <c r="J53" s="3671"/>
    </row>
    <row r="54" spans="1:10" ht="12" customHeight="1">
      <c r="A54" s="850" t="s">
        <v>3181</v>
      </c>
      <c r="G54" s="746"/>
      <c r="H54" s="746"/>
      <c r="I54" s="746"/>
    </row>
    <row r="55" spans="1:10" ht="18" customHeight="1">
      <c r="A55" s="809" t="s">
        <v>3182</v>
      </c>
      <c r="C55" s="852" t="str">
        <f>Overview!C10</f>
        <v>TBG Grayling Place, LLC</v>
      </c>
      <c r="G55" s="746"/>
      <c r="I55" s="746"/>
    </row>
    <row r="56" spans="1:10" ht="3" customHeight="1">
      <c r="C56" s="852"/>
      <c r="G56" s="746"/>
      <c r="I56" s="746"/>
    </row>
    <row r="57" spans="1:10" ht="12" customHeight="1">
      <c r="A57" s="809" t="s">
        <v>3183</v>
      </c>
      <c r="C57" s="852" t="str">
        <f>Overview!C11</f>
        <v/>
      </c>
      <c r="E57" s="852" t="str">
        <f>Overview!E11</f>
        <v/>
      </c>
      <c r="G57" s="746"/>
      <c r="I57" s="746"/>
    </row>
    <row r="58" spans="1:10" ht="3" customHeight="1">
      <c r="C58" s="852"/>
      <c r="G58" s="746"/>
      <c r="I58" s="746"/>
    </row>
    <row r="59" spans="1:10" ht="12" customHeight="1">
      <c r="A59" s="809" t="s">
        <v>3184</v>
      </c>
      <c r="C59" s="852" t="s">
        <v>2844</v>
      </c>
      <c r="G59" s="746"/>
      <c r="I59" s="746"/>
    </row>
    <row r="60" spans="1:10" ht="6" customHeight="1">
      <c r="G60" s="746"/>
      <c r="H60" s="746"/>
      <c r="I60" s="746"/>
    </row>
    <row r="61" spans="1:10" ht="12" customHeight="1">
      <c r="A61" s="850" t="s">
        <v>3185</v>
      </c>
      <c r="G61" s="746"/>
      <c r="H61" s="746"/>
      <c r="I61" s="746"/>
    </row>
    <row r="62" spans="1:10" ht="12" customHeight="1">
      <c r="A62" s="809" t="s">
        <v>3186</v>
      </c>
      <c r="C62" s="809" t="s">
        <v>3187</v>
      </c>
      <c r="D62" s="1422">
        <f>'Preview term'!F30</f>
        <v>11644384</v>
      </c>
      <c r="G62" s="746"/>
      <c r="I62" s="746"/>
    </row>
    <row r="63" spans="1:10" ht="3" customHeight="1">
      <c r="D63" s="864"/>
      <c r="G63" s="746"/>
      <c r="H63" s="865"/>
      <c r="I63" s="746"/>
    </row>
    <row r="64" spans="1:10" ht="12" customHeight="1">
      <c r="A64" s="809" t="s">
        <v>3188</v>
      </c>
      <c r="C64" s="809" t="s">
        <v>3190</v>
      </c>
      <c r="D64" s="852" t="s">
        <v>979</v>
      </c>
      <c r="G64" s="746"/>
      <c r="I64" s="746"/>
    </row>
    <row r="65" spans="1:10" ht="3" customHeight="1">
      <c r="D65" s="864"/>
      <c r="G65" s="746"/>
      <c r="H65" s="746"/>
      <c r="I65" s="746"/>
    </row>
    <row r="66" spans="1:10" ht="12" customHeight="1">
      <c r="A66" s="809" t="s">
        <v>3191</v>
      </c>
      <c r="C66" s="1423" t="s">
        <v>1784</v>
      </c>
      <c r="D66" s="878"/>
      <c r="I66" s="746"/>
    </row>
    <row r="67" spans="1:10" ht="12" customHeight="1">
      <c r="C67" s="809" t="s">
        <v>3192</v>
      </c>
      <c r="D67" s="1472" t="s">
        <v>1784</v>
      </c>
      <c r="I67" s="746"/>
    </row>
    <row r="68" spans="1:10" ht="12" customHeight="1">
      <c r="C68" s="809" t="s">
        <v>3158</v>
      </c>
      <c r="D68" s="3665"/>
      <c r="E68" s="3665"/>
      <c r="F68" s="3665"/>
      <c r="G68" s="3665"/>
      <c r="H68" s="3665"/>
      <c r="I68" s="3665"/>
      <c r="J68" s="3665"/>
    </row>
    <row r="69" spans="1:10" ht="3" customHeight="1">
      <c r="D69" s="864"/>
      <c r="E69" s="746"/>
      <c r="F69" s="746"/>
      <c r="I69" s="746"/>
    </row>
    <row r="70" spans="1:10" ht="12" customHeight="1">
      <c r="A70" s="809" t="s">
        <v>3193</v>
      </c>
      <c r="C70" s="809" t="s">
        <v>2426</v>
      </c>
      <c r="D70" s="872" t="s">
        <v>1784</v>
      </c>
      <c r="I70" s="746"/>
    </row>
    <row r="71" spans="1:10" ht="3" customHeight="1">
      <c r="D71" s="746"/>
      <c r="E71" s="746"/>
      <c r="I71" s="746"/>
    </row>
    <row r="72" spans="1:10" ht="12" customHeight="1">
      <c r="A72" s="809" t="s">
        <v>3194</v>
      </c>
      <c r="C72" s="1423" t="s">
        <v>1784</v>
      </c>
      <c r="I72" s="746"/>
    </row>
    <row r="73" spans="1:10" ht="3" customHeight="1">
      <c r="C73" s="864"/>
      <c r="G73" s="866"/>
      <c r="H73" s="746"/>
      <c r="I73" s="746"/>
    </row>
    <row r="74" spans="1:10" ht="12" customHeight="1">
      <c r="A74" s="809" t="s">
        <v>3195</v>
      </c>
      <c r="C74" s="864" t="s">
        <v>3196</v>
      </c>
      <c r="D74" s="1425">
        <v>0</v>
      </c>
      <c r="J74" s="746"/>
    </row>
    <row r="75" spans="1:10" ht="12" customHeight="1">
      <c r="C75" s="867" t="s">
        <v>3354</v>
      </c>
      <c r="D75" s="1426">
        <v>0.01</v>
      </c>
      <c r="J75" s="746"/>
    </row>
    <row r="76" spans="1:10" ht="3" customHeight="1">
      <c r="C76" s="864"/>
      <c r="D76" s="864"/>
      <c r="G76" s="746"/>
      <c r="H76" s="746"/>
      <c r="I76" s="746"/>
    </row>
    <row r="77" spans="1:10" ht="12" customHeight="1">
      <c r="A77" s="809" t="s">
        <v>3197</v>
      </c>
      <c r="C77" s="864" t="s">
        <v>3586</v>
      </c>
      <c r="D77" s="869">
        <v>24</v>
      </c>
      <c r="I77" s="746"/>
    </row>
    <row r="78" spans="1:10" ht="3" customHeight="1">
      <c r="D78" s="864"/>
      <c r="E78" s="746"/>
      <c r="F78" s="746"/>
      <c r="I78" s="746"/>
    </row>
    <row r="79" spans="1:10" ht="12" customHeight="1">
      <c r="A79" s="809" t="s">
        <v>3198</v>
      </c>
      <c r="C79" s="809" t="s">
        <v>2426</v>
      </c>
      <c r="D79" s="870">
        <f>'Preview term'!F39</f>
        <v>180</v>
      </c>
      <c r="E79" s="746" t="s">
        <v>3540</v>
      </c>
      <c r="I79" s="746"/>
    </row>
    <row r="80" spans="1:10" ht="3" customHeight="1">
      <c r="D80" s="864"/>
      <c r="G80" s="746"/>
      <c r="H80" s="746"/>
      <c r="I80" s="746"/>
    </row>
    <row r="81" spans="1:9" ht="12" customHeight="1">
      <c r="A81" s="809" t="s">
        <v>3199</v>
      </c>
      <c r="D81" s="1424">
        <v>0</v>
      </c>
      <c r="E81" s="871">
        <f>D81*12</f>
        <v>0</v>
      </c>
      <c r="F81" s="746" t="s">
        <v>3587</v>
      </c>
    </row>
    <row r="82" spans="1:9" ht="3" customHeight="1">
      <c r="D82" s="852"/>
      <c r="E82" s="746"/>
      <c r="G82" s="746"/>
    </row>
    <row r="83" spans="1:9" ht="12" customHeight="1">
      <c r="A83" s="809" t="s">
        <v>3200</v>
      </c>
      <c r="D83" s="1472" t="s">
        <v>979</v>
      </c>
      <c r="E83" s="746" t="s">
        <v>3201</v>
      </c>
      <c r="G83" s="746"/>
    </row>
    <row r="84" spans="1:9" ht="3" customHeight="1">
      <c r="G84" s="746"/>
      <c r="H84" s="746"/>
      <c r="I84" s="746"/>
    </row>
    <row r="85" spans="1:9" ht="12" customHeight="1">
      <c r="A85" s="809" t="s">
        <v>3202</v>
      </c>
      <c r="C85" s="1422">
        <f>'Part VII-Pro Forma'!K67</f>
        <v>1971706.5968675392</v>
      </c>
      <c r="D85" s="873" t="s">
        <v>3538</v>
      </c>
      <c r="I85" s="746"/>
    </row>
    <row r="86" spans="1:9" ht="3" customHeight="1">
      <c r="C86" s="746" t="s">
        <v>1784</v>
      </c>
      <c r="D86" s="746"/>
      <c r="E86" s="746"/>
      <c r="I86" s="746"/>
    </row>
    <row r="87" spans="1:9" ht="12" customHeight="1">
      <c r="A87" s="809" t="s">
        <v>3203</v>
      </c>
      <c r="B87" s="874"/>
      <c r="C87" s="1423" t="s">
        <v>1784</v>
      </c>
      <c r="D87" s="1428"/>
      <c r="I87" s="746"/>
    </row>
    <row r="88" spans="1:9" ht="3" customHeight="1">
      <c r="G88" s="746"/>
      <c r="H88" s="746"/>
      <c r="I88" s="746"/>
    </row>
    <row r="89" spans="1:9" ht="12" customHeight="1">
      <c r="A89" s="809" t="s">
        <v>3204</v>
      </c>
      <c r="C89" s="864" t="s">
        <v>3205</v>
      </c>
      <c r="D89" s="852" t="s">
        <v>3134</v>
      </c>
      <c r="I89" s="746"/>
    </row>
    <row r="90" spans="1:9" ht="12" customHeight="1">
      <c r="C90" s="864" t="s">
        <v>3206</v>
      </c>
      <c r="D90" s="852" t="s">
        <v>979</v>
      </c>
      <c r="I90" s="746"/>
    </row>
    <row r="91" spans="1:9" ht="3" customHeight="1">
      <c r="G91" s="746"/>
      <c r="H91" s="746"/>
      <c r="I91" s="746"/>
    </row>
    <row r="92" spans="1:9" ht="12" customHeight="1">
      <c r="A92" s="809" t="s">
        <v>3207</v>
      </c>
      <c r="C92" s="864" t="s">
        <v>3196</v>
      </c>
      <c r="D92" s="746" t="s">
        <v>3208</v>
      </c>
      <c r="E92" s="864" t="str">
        <f>'Part III-Sources of Funds'!H19</f>
        <v>Regions Affordable Housing, LLC</v>
      </c>
      <c r="I92" s="746"/>
    </row>
    <row r="93" spans="1:9" ht="12" customHeight="1">
      <c r="C93" s="878"/>
      <c r="D93" s="746"/>
      <c r="E93" s="864" t="s">
        <v>1810</v>
      </c>
      <c r="F93" s="3660"/>
      <c r="G93" s="3660"/>
      <c r="H93" s="3660"/>
      <c r="I93" s="746"/>
    </row>
    <row r="94" spans="1:9" ht="12" customHeight="1">
      <c r="C94" s="864"/>
      <c r="D94" s="746"/>
      <c r="E94" s="864" t="s">
        <v>1999</v>
      </c>
      <c r="F94" s="3661"/>
      <c r="G94" s="3661"/>
      <c r="H94" s="3661"/>
      <c r="I94" s="746"/>
    </row>
    <row r="95" spans="1:9" ht="12" customHeight="1">
      <c r="C95" s="864"/>
      <c r="D95" s="746"/>
      <c r="E95" s="864" t="s">
        <v>1813</v>
      </c>
      <c r="F95" s="3662"/>
      <c r="G95" s="3662"/>
      <c r="H95" s="3662"/>
      <c r="I95" s="746"/>
    </row>
    <row r="96" spans="1:9" ht="12" customHeight="1">
      <c r="B96" s="854"/>
      <c r="C96" s="867" t="s">
        <v>3354</v>
      </c>
      <c r="D96" s="746" t="s">
        <v>3208</v>
      </c>
      <c r="E96" s="864" t="str">
        <f>'Part III-Sources of Funds'!E37</f>
        <v>Regions Capital Markets Group</v>
      </c>
      <c r="I96" s="746"/>
    </row>
    <row r="97" spans="1:10" ht="12" customHeight="1">
      <c r="C97" s="864"/>
      <c r="D97" s="746"/>
      <c r="E97" s="864" t="s">
        <v>1810</v>
      </c>
      <c r="F97" s="3660"/>
      <c r="G97" s="3660"/>
      <c r="H97" s="3660"/>
      <c r="I97" s="746"/>
    </row>
    <row r="98" spans="1:10" ht="12" customHeight="1">
      <c r="C98" s="864"/>
      <c r="D98" s="746"/>
      <c r="E98" s="864" t="s">
        <v>1999</v>
      </c>
      <c r="F98" s="3661"/>
      <c r="G98" s="3661"/>
      <c r="H98" s="3661"/>
      <c r="I98" s="746"/>
    </row>
    <row r="99" spans="1:10" ht="12" customHeight="1">
      <c r="C99" s="864"/>
      <c r="D99" s="746"/>
      <c r="E99" s="864" t="s">
        <v>1813</v>
      </c>
      <c r="F99" s="3662"/>
      <c r="G99" s="3662"/>
      <c r="H99" s="3662"/>
      <c r="I99" s="746"/>
    </row>
    <row r="100" spans="1:10" ht="3" customHeight="1">
      <c r="D100" s="875"/>
      <c r="G100" s="746"/>
      <c r="H100" s="746"/>
      <c r="I100" s="746"/>
    </row>
    <row r="101" spans="1:10" ht="12" customHeight="1">
      <c r="A101" s="809" t="s">
        <v>3209</v>
      </c>
      <c r="D101" s="1472" t="str">
        <f>'Part IX A-Scoring Criteria'!O318</f>
        <v>Yes</v>
      </c>
      <c r="E101" s="746" t="s">
        <v>3189</v>
      </c>
      <c r="G101" s="809">
        <f>'Part IX A-Scoring Criteria'!O316</f>
        <v>1</v>
      </c>
      <c r="H101" s="809" t="s">
        <v>3539</v>
      </c>
      <c r="I101" s="746"/>
    </row>
    <row r="102" spans="1:10" ht="3" customHeight="1">
      <c r="E102" s="746"/>
      <c r="F102" s="746"/>
      <c r="I102" s="746"/>
    </row>
    <row r="103" spans="1:10" ht="12" customHeight="1">
      <c r="A103" s="746" t="s">
        <v>3355</v>
      </c>
      <c r="D103" s="809" t="s">
        <v>979</v>
      </c>
      <c r="E103" s="746"/>
      <c r="I103" s="746"/>
    </row>
    <row r="104" spans="1:10" ht="6" customHeight="1">
      <c r="G104" s="746"/>
      <c r="H104" s="746"/>
      <c r="I104" s="746"/>
    </row>
    <row r="105" spans="1:10" ht="12" customHeight="1">
      <c r="A105" s="850" t="s">
        <v>3356</v>
      </c>
      <c r="I105" s="746"/>
    </row>
    <row r="106" spans="1:10" ht="12" customHeight="1">
      <c r="A106" s="809" t="s">
        <v>3210</v>
      </c>
      <c r="C106" s="1427" t="s">
        <v>1784</v>
      </c>
      <c r="D106" s="3663"/>
      <c r="E106" s="3663"/>
      <c r="F106" s="3663"/>
      <c r="G106" s="3663"/>
      <c r="H106" s="3663"/>
      <c r="I106" s="3663"/>
      <c r="J106" s="3664"/>
    </row>
    <row r="107" spans="1:10" ht="3" customHeight="1">
      <c r="C107" s="864"/>
      <c r="D107" s="746"/>
      <c r="I107" s="746"/>
    </row>
    <row r="108" spans="1:10" ht="12" customHeight="1">
      <c r="A108" s="809" t="s">
        <v>3211</v>
      </c>
      <c r="C108" s="1472" t="s">
        <v>1784</v>
      </c>
    </row>
    <row r="109" spans="1:10" ht="3" customHeight="1">
      <c r="C109" s="864"/>
      <c r="E109" s="746"/>
      <c r="F109" s="746"/>
      <c r="I109" s="746"/>
    </row>
    <row r="110" spans="1:10" ht="12" customHeight="1">
      <c r="A110" s="809" t="s">
        <v>3212</v>
      </c>
      <c r="C110" s="1472" t="s">
        <v>1784</v>
      </c>
      <c r="I110" s="746"/>
    </row>
    <row r="111" spans="1:10" ht="3" customHeight="1">
      <c r="D111" s="857"/>
      <c r="I111" s="746"/>
    </row>
    <row r="112" spans="1:10" ht="12" customHeight="1">
      <c r="A112" s="809" t="s">
        <v>3213</v>
      </c>
      <c r="D112" s="870">
        <v>24</v>
      </c>
      <c r="E112" s="746" t="s">
        <v>3214</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3215</v>
      </c>
      <c r="D116" s="876">
        <v>0</v>
      </c>
      <c r="E116" s="877" t="s">
        <v>3216</v>
      </c>
      <c r="I116" s="746"/>
    </row>
    <row r="117" spans="1:10" ht="3" customHeight="1">
      <c r="D117" s="864"/>
      <c r="E117" s="746"/>
      <c r="F117" s="746"/>
      <c r="I117" s="746"/>
    </row>
    <row r="118" spans="1:10" ht="12" customHeight="1">
      <c r="A118" s="809" t="s">
        <v>3217</v>
      </c>
      <c r="C118" s="1423" t="s">
        <v>1784</v>
      </c>
      <c r="D118" s="878"/>
      <c r="I118" s="746"/>
    </row>
    <row r="119" spans="1:10" ht="12" customHeight="1">
      <c r="C119" s="746" t="s">
        <v>3218</v>
      </c>
      <c r="D119" s="868"/>
      <c r="E119" s="3667" t="s">
        <v>4323</v>
      </c>
      <c r="F119" s="3667"/>
      <c r="G119" s="3667"/>
      <c r="H119" s="3667"/>
      <c r="I119" s="3667"/>
      <c r="J119" s="3667"/>
    </row>
    <row r="120" spans="1:10" ht="12" customHeight="1">
      <c r="C120" s="746" t="s">
        <v>3219</v>
      </c>
      <c r="D120" s="1429"/>
      <c r="E120" s="3667"/>
      <c r="F120" s="3667"/>
      <c r="G120" s="3667"/>
      <c r="H120" s="3667"/>
      <c r="I120" s="3667"/>
      <c r="J120" s="3667"/>
    </row>
    <row r="121" spans="1:10" ht="12" customHeight="1">
      <c r="C121" s="746" t="s">
        <v>3220</v>
      </c>
      <c r="D121" s="1429"/>
      <c r="E121" s="3667"/>
      <c r="F121" s="3667"/>
      <c r="G121" s="3667"/>
      <c r="H121" s="3667"/>
      <c r="I121" s="3667"/>
      <c r="J121" s="3667"/>
    </row>
    <row r="122" spans="1:10" ht="3" customHeight="1">
      <c r="E122" s="746"/>
      <c r="F122" s="746"/>
      <c r="I122" s="746"/>
    </row>
    <row r="123" spans="1:10" ht="12" customHeight="1">
      <c r="A123" s="809" t="s">
        <v>3221</v>
      </c>
      <c r="D123" s="879" t="s">
        <v>3189</v>
      </c>
      <c r="I123" s="746"/>
    </row>
    <row r="124" spans="1:10" ht="3" customHeight="1">
      <c r="D124" s="746"/>
      <c r="I124" s="746"/>
    </row>
    <row r="125" spans="1:10" ht="12" customHeight="1">
      <c r="A125" s="809" t="s">
        <v>3222</v>
      </c>
      <c r="D125" s="746" t="s">
        <v>3189</v>
      </c>
      <c r="I125" s="746"/>
    </row>
    <row r="126" spans="1:10" ht="3" customHeight="1">
      <c r="G126" s="746"/>
      <c r="H126" s="746"/>
      <c r="I126" s="746"/>
    </row>
    <row r="127" spans="1:10" ht="12" customHeight="1">
      <c r="A127" s="809" t="s">
        <v>3223</v>
      </c>
      <c r="D127" s="746" t="s">
        <v>3224</v>
      </c>
      <c r="G127" s="746"/>
      <c r="I127" s="746"/>
    </row>
    <row r="128" spans="1:10" ht="7.5" customHeight="1">
      <c r="G128" s="746"/>
      <c r="H128" s="746"/>
      <c r="I128" s="746"/>
    </row>
    <row r="129" spans="1:10" ht="12" customHeight="1">
      <c r="A129" s="850" t="s">
        <v>3225</v>
      </c>
      <c r="G129" s="746"/>
      <c r="H129" s="746"/>
      <c r="I129" s="746"/>
    </row>
    <row r="130" spans="1:10" ht="12" customHeight="1">
      <c r="A130" s="809" t="s">
        <v>3226</v>
      </c>
      <c r="C130" s="852" t="str">
        <f>Overview!H11</f>
        <v>MHL, Inc. DBA TBG Residential</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3227</v>
      </c>
      <c r="C133" s="880">
        <f>('Part IV-A-Uses of Funds'!G118-'Part III-Sources of Funds'!I42)/2</f>
        <v>642978</v>
      </c>
      <c r="G133" s="746"/>
      <c r="I133" s="746"/>
    </row>
    <row r="134" spans="1:10" ht="3" customHeight="1">
      <c r="C134" s="746"/>
      <c r="G134" s="746"/>
      <c r="I134" s="746"/>
    </row>
    <row r="135" spans="1:10" ht="12" customHeight="1">
      <c r="A135" s="809" t="s">
        <v>3228</v>
      </c>
      <c r="C135" s="1472" t="s">
        <v>3229</v>
      </c>
      <c r="G135" s="746"/>
      <c r="I135" s="746"/>
    </row>
    <row r="136" spans="1:10" ht="3" customHeight="1">
      <c r="C136" s="852"/>
      <c r="G136" s="746"/>
      <c r="I136" s="746"/>
    </row>
    <row r="137" spans="1:10" ht="12" customHeight="1">
      <c r="A137" s="809" t="s">
        <v>3230</v>
      </c>
      <c r="C137" s="852" t="str">
        <f>'Preview term'!E19</f>
        <v>Buckner Finance Company DBA TBG Residential</v>
      </c>
      <c r="G137" s="746"/>
      <c r="I137" s="746"/>
      <c r="J137" s="881"/>
    </row>
    <row r="138" spans="1:10" ht="3" customHeight="1">
      <c r="C138" s="852"/>
      <c r="G138" s="746"/>
      <c r="I138" s="746"/>
    </row>
    <row r="139" spans="1:10" ht="12" customHeight="1">
      <c r="A139" s="809" t="s">
        <v>3231</v>
      </c>
      <c r="C139" s="853" t="str">
        <f>C8</f>
        <v>Grayling Place, LP</v>
      </c>
      <c r="G139" s="746"/>
      <c r="I139" s="851"/>
      <c r="J139" s="882"/>
    </row>
    <row r="140" spans="1:10" ht="3" customHeight="1">
      <c r="C140" s="853"/>
      <c r="G140" s="746"/>
      <c r="I140" s="851"/>
      <c r="J140" s="882"/>
    </row>
    <row r="141" spans="1:10" ht="12" customHeight="1">
      <c r="A141" s="809" t="s">
        <v>3232</v>
      </c>
      <c r="C141" s="853" t="str">
        <f>C18</f>
        <v>3825 Paces Walk SE, Suite 100</v>
      </c>
      <c r="G141" s="746"/>
      <c r="I141" s="851"/>
      <c r="J141" s="882"/>
    </row>
    <row r="142" spans="1:10">
      <c r="C142" s="853" t="str">
        <f>C19</f>
        <v>Atlanta, GA 30339</v>
      </c>
      <c r="G142" s="746"/>
      <c r="I142" s="851"/>
      <c r="J142" s="882"/>
    </row>
    <row r="143" spans="1:10" ht="3" customHeight="1">
      <c r="C143" s="883"/>
      <c r="G143" s="746"/>
      <c r="I143" s="851"/>
      <c r="J143" s="882"/>
    </row>
    <row r="144" spans="1:10" ht="12" customHeight="1">
      <c r="A144" s="809" t="s">
        <v>3233</v>
      </c>
      <c r="C144" s="853" t="str">
        <f>Overview!H10</f>
        <v>Regions Bank</v>
      </c>
      <c r="G144" s="746"/>
      <c r="I144" s="851"/>
      <c r="J144" s="881"/>
    </row>
    <row r="145" spans="1:10" ht="3" customHeight="1">
      <c r="C145" s="853"/>
      <c r="G145" s="746"/>
      <c r="I145" s="851"/>
      <c r="J145" s="882"/>
    </row>
    <row r="146" spans="1:10" ht="12" customHeight="1">
      <c r="A146" s="809" t="s">
        <v>3234</v>
      </c>
      <c r="C146" s="853" t="str">
        <f>Overview!K10</f>
        <v>TBG Grayling Place  Investments, LLC</v>
      </c>
      <c r="G146" s="746"/>
      <c r="I146" s="851"/>
      <c r="J146" s="881"/>
    </row>
    <row r="147" spans="1:10" ht="3" customHeight="1">
      <c r="C147" s="883"/>
      <c r="G147" s="746"/>
      <c r="I147" s="851"/>
      <c r="J147" s="882"/>
    </row>
    <row r="148" spans="1:10" ht="12" customHeight="1">
      <c r="A148" s="809" t="s">
        <v>3235</v>
      </c>
      <c r="C148" s="884" t="s">
        <v>3189</v>
      </c>
      <c r="G148" s="746"/>
      <c r="I148" s="746"/>
    </row>
    <row r="149" spans="1:10" ht="3" customHeight="1">
      <c r="C149" s="884"/>
      <c r="G149" s="746"/>
      <c r="I149" s="746"/>
    </row>
    <row r="150" spans="1:10" ht="12" customHeight="1">
      <c r="A150" s="809" t="s">
        <v>3236</v>
      </c>
      <c r="C150" s="884" t="s">
        <v>3189</v>
      </c>
      <c r="G150" s="746"/>
      <c r="I150" s="746"/>
    </row>
    <row r="151" spans="1:10" ht="7.5" customHeight="1">
      <c r="G151" s="746"/>
      <c r="H151" s="746"/>
      <c r="I151" s="746"/>
    </row>
    <row r="152" spans="1:10" ht="12" customHeight="1">
      <c r="A152" s="850" t="s">
        <v>3237</v>
      </c>
      <c r="G152" s="746"/>
      <c r="H152" s="746"/>
      <c r="I152" s="746"/>
    </row>
    <row r="153" spans="1:10" ht="3" customHeight="1">
      <c r="D153" s="746"/>
      <c r="E153" s="746"/>
      <c r="G153" s="746"/>
    </row>
    <row r="154" spans="1:10" ht="12" customHeight="1">
      <c r="A154" s="809" t="s">
        <v>3238</v>
      </c>
      <c r="C154" s="746" t="s">
        <v>3541</v>
      </c>
      <c r="D154" s="746"/>
      <c r="G154" s="746"/>
      <c r="H154" s="746"/>
      <c r="I154" s="746"/>
    </row>
    <row r="155" spans="1:10" ht="3" customHeight="1">
      <c r="D155" s="746"/>
      <c r="E155" s="746"/>
      <c r="G155" s="746"/>
    </row>
    <row r="156" spans="1:10" ht="12" customHeight="1">
      <c r="A156" s="809" t="s">
        <v>3239</v>
      </c>
      <c r="D156" s="1472">
        <v>20</v>
      </c>
      <c r="E156" s="746" t="s">
        <v>2426</v>
      </c>
    </row>
    <row r="157" spans="1:10" ht="3" customHeight="1">
      <c r="D157" s="746"/>
      <c r="E157" s="746"/>
      <c r="G157" s="746"/>
    </row>
    <row r="158" spans="1:10" ht="12" customHeight="1">
      <c r="A158" s="809" t="s">
        <v>3240</v>
      </c>
      <c r="C158" s="1423" t="s">
        <v>1784</v>
      </c>
      <c r="D158" s="746" t="s">
        <v>3588</v>
      </c>
      <c r="G158" s="746"/>
    </row>
    <row r="159" spans="1:10" ht="3" customHeight="1">
      <c r="G159" s="746"/>
      <c r="H159" s="746"/>
      <c r="I159" s="746"/>
    </row>
    <row r="160" spans="1:10" ht="12" customHeight="1">
      <c r="A160" s="809" t="s">
        <v>3241</v>
      </c>
      <c r="G160" s="746"/>
      <c r="H160" s="746"/>
      <c r="I160" s="746"/>
    </row>
    <row r="161" spans="1:13" ht="7.5" customHeight="1">
      <c r="G161" s="746"/>
      <c r="H161" s="746"/>
      <c r="I161" s="746"/>
    </row>
    <row r="162" spans="1:13" ht="12" customHeight="1">
      <c r="A162" s="850" t="s">
        <v>3242</v>
      </c>
      <c r="G162" s="746"/>
      <c r="H162" s="746"/>
      <c r="I162" s="746"/>
    </row>
    <row r="163" spans="1:13" ht="12" customHeight="1">
      <c r="A163" s="809" t="s">
        <v>3346</v>
      </c>
      <c r="C163" s="809" t="s">
        <v>3347</v>
      </c>
      <c r="E163" s="872">
        <f>'Preview term'!F77</f>
        <v>0</v>
      </c>
      <c r="G163" s="746"/>
      <c r="I163" s="746"/>
    </row>
    <row r="164" spans="1:13" ht="12" customHeight="1">
      <c r="C164" s="809" t="s">
        <v>3542</v>
      </c>
      <c r="E164" s="3665"/>
      <c r="F164" s="3665"/>
      <c r="G164" s="3665"/>
      <c r="I164" s="746"/>
    </row>
    <row r="165" spans="1:13" ht="3" customHeight="1">
      <c r="E165" s="746"/>
      <c r="G165" s="746"/>
      <c r="I165" s="746"/>
    </row>
    <row r="166" spans="1:13" ht="12" customHeight="1">
      <c r="A166" s="809" t="s">
        <v>3243</v>
      </c>
      <c r="C166" s="809" t="s">
        <v>3244</v>
      </c>
      <c r="E166" s="885">
        <f>'Preview term'!F71</f>
        <v>273075</v>
      </c>
      <c r="G166" s="746"/>
      <c r="I166" s="746"/>
    </row>
    <row r="167" spans="1:13" ht="12" customHeight="1">
      <c r="C167" s="809" t="s">
        <v>3542</v>
      </c>
      <c r="E167" s="3665"/>
      <c r="F167" s="3665"/>
      <c r="G167" s="3665"/>
      <c r="I167" s="746"/>
    </row>
    <row r="168" spans="1:13" ht="12" customHeight="1">
      <c r="C168" s="809" t="s">
        <v>3245</v>
      </c>
      <c r="E168" s="852" t="s">
        <v>2844</v>
      </c>
      <c r="G168" s="746"/>
      <c r="I168" s="746"/>
    </row>
    <row r="169" spans="1:13" ht="3" customHeight="1">
      <c r="E169" s="852"/>
      <c r="G169" s="746"/>
      <c r="I169" s="746"/>
    </row>
    <row r="170" spans="1:13" ht="12" customHeight="1">
      <c r="A170" s="809" t="s">
        <v>3348</v>
      </c>
      <c r="C170" s="809" t="s">
        <v>3349</v>
      </c>
      <c r="E170" s="885">
        <f>'Preview term'!F73</f>
        <v>0</v>
      </c>
      <c r="G170" s="746"/>
      <c r="I170" s="746"/>
    </row>
    <row r="171" spans="1:13" ht="12" customHeight="1">
      <c r="C171" s="809" t="s">
        <v>3246</v>
      </c>
      <c r="E171" s="885">
        <f>'Preview term'!F73</f>
        <v>0</v>
      </c>
      <c r="G171" s="746"/>
      <c r="I171" s="851"/>
      <c r="J171" s="882"/>
      <c r="K171" s="882"/>
      <c r="L171" s="882"/>
      <c r="M171" s="882"/>
    </row>
    <row r="172" spans="1:13" ht="12" customHeight="1">
      <c r="C172" s="809" t="s">
        <v>3247</v>
      </c>
      <c r="E172" s="880">
        <f>'Part VI-Revenues &amp; Expenses'!P179</f>
        <v>21000</v>
      </c>
      <c r="F172" s="851" t="s">
        <v>3248</v>
      </c>
      <c r="J172" s="882"/>
      <c r="K172" s="882"/>
      <c r="L172" s="882"/>
      <c r="M172" s="882"/>
    </row>
    <row r="173" spans="1:13">
      <c r="E173" s="885">
        <f>E172/12</f>
        <v>1750</v>
      </c>
      <c r="F173" s="746" t="s">
        <v>3100</v>
      </c>
    </row>
    <row r="174" spans="1:13" ht="12" customHeight="1">
      <c r="C174" s="809" t="s">
        <v>3543</v>
      </c>
      <c r="E174" s="3665"/>
      <c r="F174" s="3665"/>
      <c r="G174" s="3665"/>
      <c r="I174" s="746"/>
    </row>
    <row r="175" spans="1:13" ht="12" customHeight="1">
      <c r="C175" s="809" t="s">
        <v>3249</v>
      </c>
      <c r="E175" s="746" t="s">
        <v>3012</v>
      </c>
      <c r="I175" s="746"/>
    </row>
    <row r="176" spans="1:13" ht="12" customHeight="1">
      <c r="C176" s="809" t="s">
        <v>3250</v>
      </c>
      <c r="E176" s="746" t="s">
        <v>2844</v>
      </c>
      <c r="I176" s="746"/>
    </row>
    <row r="177" spans="1:10" ht="3" customHeight="1">
      <c r="E177" s="746"/>
      <c r="F177" s="746"/>
      <c r="I177" s="746"/>
    </row>
    <row r="178" spans="1:10" ht="12" customHeight="1">
      <c r="A178" s="809" t="s">
        <v>3344</v>
      </c>
      <c r="C178" s="809" t="s">
        <v>3345</v>
      </c>
      <c r="E178" s="872" t="s">
        <v>1784</v>
      </c>
      <c r="F178" s="886"/>
      <c r="I178" s="746"/>
    </row>
    <row r="179" spans="1:10" ht="12" customHeight="1">
      <c r="C179" s="809" t="s">
        <v>3251</v>
      </c>
      <c r="E179" s="872" t="s">
        <v>1784</v>
      </c>
      <c r="F179" s="3665"/>
      <c r="G179" s="3665"/>
      <c r="H179" s="3665"/>
      <c r="I179" s="3665"/>
      <c r="J179" s="3665"/>
    </row>
    <row r="180" spans="1:10" ht="12" customHeight="1">
      <c r="C180" s="809" t="s">
        <v>3544</v>
      </c>
      <c r="E180" s="746" t="s">
        <v>3189</v>
      </c>
      <c r="I180" s="746"/>
    </row>
    <row r="181" spans="1:10" ht="12" customHeight="1">
      <c r="C181" s="809" t="s">
        <v>3252</v>
      </c>
      <c r="E181" s="746" t="s">
        <v>2844</v>
      </c>
      <c r="I181" s="746"/>
    </row>
    <row r="182" spans="1:10" ht="3" customHeight="1">
      <c r="G182" s="746"/>
      <c r="H182" s="746"/>
      <c r="I182" s="746"/>
    </row>
    <row r="183" spans="1:10" ht="12" customHeight="1">
      <c r="A183" s="809" t="s">
        <v>3350</v>
      </c>
      <c r="C183" s="809" t="s">
        <v>3351</v>
      </c>
      <c r="E183" s="885">
        <f>'Preview term'!F75</f>
        <v>88206</v>
      </c>
      <c r="G183" s="746"/>
      <c r="I183" s="746"/>
    </row>
    <row r="184" spans="1:10" ht="12" customHeight="1">
      <c r="C184" s="809" t="s">
        <v>3542</v>
      </c>
      <c r="E184" s="852">
        <f>E167</f>
        <v>0</v>
      </c>
      <c r="G184" s="746"/>
      <c r="I184" s="746"/>
    </row>
    <row r="185" spans="1:10" ht="12" customHeight="1">
      <c r="C185" s="809" t="s">
        <v>3253</v>
      </c>
      <c r="E185" s="852" t="s">
        <v>3189</v>
      </c>
      <c r="G185" s="746"/>
      <c r="I185" s="746"/>
    </row>
    <row r="186" spans="1:10" ht="3" customHeight="1">
      <c r="E186" s="852"/>
      <c r="G186" s="746"/>
      <c r="I186" s="746"/>
    </row>
    <row r="187" spans="1:10" ht="12" customHeight="1">
      <c r="A187" s="809" t="s">
        <v>3352</v>
      </c>
      <c r="C187" s="809" t="s">
        <v>3353</v>
      </c>
      <c r="E187" s="852" t="s">
        <v>3189</v>
      </c>
      <c r="G187" s="746"/>
      <c r="I187" s="746"/>
    </row>
    <row r="188" spans="1:10" ht="12" customHeight="1">
      <c r="C188" s="809" t="s">
        <v>3244</v>
      </c>
      <c r="E188" s="864"/>
      <c r="G188" s="746"/>
      <c r="H188" s="871"/>
      <c r="I188" s="746"/>
    </row>
    <row r="189" spans="1:10" ht="12" customHeight="1">
      <c r="C189" s="809" t="s">
        <v>3542</v>
      </c>
      <c r="E189" s="864"/>
      <c r="I189" s="852"/>
    </row>
    <row r="190" spans="1:10" ht="12" customHeight="1">
      <c r="C190" s="809" t="s">
        <v>3245</v>
      </c>
      <c r="E190" s="864"/>
      <c r="G190" s="746"/>
      <c r="H190" s="746"/>
      <c r="I190" s="746"/>
    </row>
    <row r="191" spans="1:10" ht="9" customHeight="1">
      <c r="G191" s="746"/>
      <c r="H191" s="746"/>
      <c r="I191" s="746"/>
    </row>
    <row r="192" spans="1:10" ht="12" customHeight="1">
      <c r="A192" s="850" t="s">
        <v>3254</v>
      </c>
      <c r="C192" s="746" t="s">
        <v>3255</v>
      </c>
      <c r="E192" s="746"/>
      <c r="I192" s="746"/>
    </row>
    <row r="193" spans="1:10" ht="9" customHeight="1">
      <c r="E193" s="746"/>
      <c r="F193" s="746"/>
      <c r="I193" s="746"/>
    </row>
    <row r="194" spans="1:10" ht="12" customHeight="1">
      <c r="A194" s="850" t="s">
        <v>3256</v>
      </c>
      <c r="E194" s="746"/>
      <c r="F194" s="746"/>
      <c r="I194" s="746"/>
    </row>
    <row r="195" spans="1:10" ht="12" customHeight="1">
      <c r="A195" s="809" t="s">
        <v>3257</v>
      </c>
      <c r="C195" s="1419" t="s">
        <v>1784</v>
      </c>
      <c r="E195" s="746"/>
      <c r="F195" s="746"/>
      <c r="I195" s="746"/>
    </row>
    <row r="196" spans="1:10" ht="3" customHeight="1">
      <c r="G196" s="746"/>
      <c r="H196" s="746"/>
      <c r="I196" s="746"/>
    </row>
    <row r="197" spans="1:10">
      <c r="A197" s="858" t="s">
        <v>3546</v>
      </c>
      <c r="B197" s="858"/>
      <c r="C197" s="858"/>
      <c r="D197" s="858"/>
      <c r="E197" s="863" t="s">
        <v>3545</v>
      </c>
      <c r="F197" s="3666">
        <f>'Part VIII-Threshold Criteria'!E393</f>
        <v>0</v>
      </c>
      <c r="G197" s="3666"/>
      <c r="H197" s="3666"/>
      <c r="I197" s="3666"/>
      <c r="J197" s="3666"/>
    </row>
    <row r="198" spans="1:10" ht="9" customHeight="1">
      <c r="G198" s="746"/>
      <c r="H198" s="746"/>
      <c r="I198" s="746"/>
    </row>
    <row r="199" spans="1:10" ht="12" customHeight="1">
      <c r="A199" s="887" t="s">
        <v>3343</v>
      </c>
      <c r="G199" s="746"/>
      <c r="H199" s="746"/>
      <c r="I199" s="871"/>
    </row>
    <row r="200" spans="1:10" ht="25.5" hidden="1" customHeight="1">
      <c r="A200" s="3668" t="str">
        <f>'Subsidy Layering Memo'!A98</f>
        <v>Include any reserve requirements; explain any reserves far in excess of 6 month ODR, 3 mo lease up, 1 year RR, 6 mo T&amp;I standards.</v>
      </c>
      <c r="B200" s="3668"/>
      <c r="C200" s="3668"/>
      <c r="D200" s="3668"/>
      <c r="E200" s="3668"/>
      <c r="F200" s="3668"/>
      <c r="G200" s="3668"/>
      <c r="H200" s="3668"/>
      <c r="I200" s="3668"/>
      <c r="J200" s="3668"/>
    </row>
    <row r="201" spans="1:10">
      <c r="A201" s="746"/>
      <c r="G201" s="746"/>
      <c r="H201" s="746"/>
      <c r="I201" s="746"/>
    </row>
    <row r="202" spans="1:10">
      <c r="A202" s="850" t="s">
        <v>3258</v>
      </c>
      <c r="G202" s="746"/>
      <c r="H202" s="746"/>
      <c r="I202" s="746"/>
    </row>
    <row r="203" spans="1:10" ht="3" customHeight="1">
      <c r="G203" s="746"/>
      <c r="H203" s="746"/>
      <c r="I203" s="746"/>
    </row>
    <row r="204" spans="1:10" ht="76.5" customHeight="1">
      <c r="A204" s="3658" t="s">
        <v>2965</v>
      </c>
      <c r="B204" s="3658"/>
      <c r="C204" s="3658"/>
      <c r="D204" s="3658"/>
      <c r="E204" s="3658"/>
      <c r="F204" s="3658"/>
      <c r="G204" s="3658"/>
      <c r="H204" s="3658"/>
      <c r="I204" s="3658"/>
      <c r="J204" s="3658"/>
    </row>
    <row r="205" spans="1:10">
      <c r="A205" s="746" t="s">
        <v>2966</v>
      </c>
      <c r="G205" s="746"/>
      <c r="H205" s="746"/>
      <c r="I205" s="746"/>
    </row>
    <row r="206" spans="1:10" ht="38.25" customHeight="1">
      <c r="A206" s="3658" t="str">
        <f>'Subsidy Layering Memo'!A37&amp;".  "&amp;'Subsidy Layering Memo'!A38</f>
        <v xml:space="preserve">.  </v>
      </c>
      <c r="B206" s="3659"/>
      <c r="C206" s="3659"/>
      <c r="D206" s="3659"/>
      <c r="E206" s="3659"/>
      <c r="F206" s="3659"/>
      <c r="G206" s="3659"/>
      <c r="H206" s="3659"/>
      <c r="I206" s="3659"/>
      <c r="J206" s="365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3259</v>
      </c>
      <c r="H1" s="854" t="str">
        <f>Overview!C8</f>
        <v>Grayling Place</v>
      </c>
    </row>
    <row r="2" spans="1:11">
      <c r="A2" s="746" t="s">
        <v>3260</v>
      </c>
      <c r="H2" s="809" t="str">
        <f>Overview!E8</f>
        <v>2018-021</v>
      </c>
    </row>
    <row r="3" spans="1:11" ht="3" customHeight="1"/>
    <row r="4" spans="1:11" ht="51.75" customHeight="1">
      <c r="A4" s="3659" t="s">
        <v>3360</v>
      </c>
      <c r="B4" s="3659"/>
      <c r="C4" s="3659"/>
      <c r="D4" s="3659"/>
      <c r="E4" s="3659"/>
      <c r="F4" s="3659"/>
      <c r="G4" s="3659"/>
      <c r="H4" s="3659"/>
      <c r="J4" s="1444">
        <f>SUM('Part VII-Pro Forma'!B14:B16)/12</f>
        <v>50664.54</v>
      </c>
      <c r="K4" s="1443" t="s">
        <v>4530</v>
      </c>
    </row>
    <row r="5" spans="1:11" ht="1.5" customHeight="1">
      <c r="C5" s="888"/>
      <c r="D5" s="888"/>
      <c r="E5" s="888"/>
      <c r="F5" s="888"/>
      <c r="G5" s="888"/>
      <c r="H5" s="888"/>
    </row>
    <row r="6" spans="1:11" ht="12.75" customHeight="1">
      <c r="B6" s="889" t="s">
        <v>2452</v>
      </c>
      <c r="C6" s="3659" t="s">
        <v>3261</v>
      </c>
      <c r="D6" s="3659"/>
      <c r="E6" s="3659"/>
      <c r="F6" s="3659"/>
      <c r="G6" s="3659"/>
      <c r="H6" s="3659"/>
    </row>
    <row r="7" spans="1:11" ht="12.75" customHeight="1">
      <c r="B7" s="889" t="s">
        <v>2453</v>
      </c>
      <c r="C7" s="3659" t="s">
        <v>3262</v>
      </c>
      <c r="D7" s="3659"/>
      <c r="E7" s="3659"/>
      <c r="F7" s="3659"/>
      <c r="G7" s="3659"/>
      <c r="H7" s="3659"/>
    </row>
    <row r="8" spans="1:11" ht="3" customHeight="1"/>
    <row r="9" spans="1:11">
      <c r="A9" s="809" t="s">
        <v>3263</v>
      </c>
    </row>
    <row r="10" spans="1:11" ht="1.5" customHeight="1"/>
    <row r="11" spans="1:11" ht="26.25" customHeight="1">
      <c r="A11" s="890" t="s">
        <v>2000</v>
      </c>
      <c r="B11" s="3678" t="s">
        <v>3357</v>
      </c>
      <c r="C11" s="3678"/>
      <c r="D11" s="3678"/>
      <c r="E11" s="3678"/>
      <c r="F11" s="3678"/>
      <c r="G11" s="3679">
        <f>'Part III-Sources of Funds'!I49+'Part III-Sources of Funds'!I50</f>
        <v>12741004</v>
      </c>
      <c r="H11" s="3679"/>
    </row>
    <row r="12" spans="1:11" ht="1.5" customHeight="1">
      <c r="G12" s="858"/>
      <c r="H12" s="858"/>
    </row>
    <row r="13" spans="1:11" ht="26.25" customHeight="1">
      <c r="A13" s="890" t="s">
        <v>2002</v>
      </c>
      <c r="B13" s="3678" t="s">
        <v>3358</v>
      </c>
      <c r="C13" s="3678"/>
      <c r="D13" s="3678"/>
      <c r="E13" s="3678"/>
      <c r="F13" s="3678"/>
      <c r="G13" s="3680" t="s">
        <v>3189</v>
      </c>
      <c r="H13" s="3680"/>
    </row>
    <row r="14" spans="1:11" ht="12" hidden="1" customHeight="1">
      <c r="A14" s="890"/>
      <c r="B14" s="3673"/>
      <c r="C14" s="3673"/>
      <c r="D14" s="3673"/>
      <c r="E14" s="3673"/>
      <c r="F14" s="3673"/>
      <c r="G14" s="3673"/>
      <c r="H14" s="3673"/>
    </row>
    <row r="15" spans="1:11" ht="1.5" customHeight="1"/>
    <row r="16" spans="1:11" ht="12" customHeight="1">
      <c r="A16" s="890" t="s">
        <v>757</v>
      </c>
      <c r="B16" s="809" t="s">
        <v>3362</v>
      </c>
      <c r="F16" s="882"/>
      <c r="G16" s="3656" t="s">
        <v>3015</v>
      </c>
      <c r="H16" s="3656"/>
    </row>
    <row r="17" spans="1:8" ht="1.5" customHeight="1">
      <c r="G17" s="864"/>
    </row>
    <row r="18" spans="1:8" ht="12" customHeight="1">
      <c r="A18" s="890" t="s">
        <v>2132</v>
      </c>
      <c r="B18" s="858" t="s">
        <v>3359</v>
      </c>
      <c r="C18" s="890"/>
      <c r="D18" s="890"/>
      <c r="E18" s="890"/>
      <c r="G18" s="3673" t="s">
        <v>2844</v>
      </c>
      <c r="H18" s="3673"/>
    </row>
    <row r="19" spans="1:8" ht="12" hidden="1" customHeight="1">
      <c r="B19" s="3673"/>
      <c r="C19" s="3673"/>
      <c r="D19" s="3673"/>
      <c r="E19" s="3673"/>
      <c r="F19" s="3673"/>
      <c r="G19" s="3673"/>
      <c r="H19" s="3673"/>
    </row>
    <row r="20" spans="1:8" ht="13.5" customHeight="1"/>
    <row r="21" spans="1:8" ht="12" customHeight="1">
      <c r="A21" s="746" t="s">
        <v>3264</v>
      </c>
    </row>
    <row r="22" spans="1:8" ht="3" customHeight="1"/>
    <row r="23" spans="1:8" ht="26.25" customHeight="1">
      <c r="A23" s="3676" t="s">
        <v>3361</v>
      </c>
      <c r="B23" s="3676"/>
      <c r="C23" s="3676"/>
      <c r="D23" s="3676"/>
      <c r="E23" s="3676"/>
      <c r="F23" s="3676"/>
      <c r="G23" s="3676"/>
      <c r="H23" s="3676"/>
    </row>
    <row r="24" spans="1:8" ht="26.25" customHeight="1">
      <c r="A24" s="3677" t="s">
        <v>3265</v>
      </c>
      <c r="B24" s="3677"/>
      <c r="C24" s="3677"/>
      <c r="D24" s="3677"/>
      <c r="E24" s="3677"/>
      <c r="F24" s="3677"/>
      <c r="G24" s="3677"/>
      <c r="H24" s="3677"/>
    </row>
    <row r="25" spans="1:8" ht="9" customHeight="1">
      <c r="A25" s="831"/>
    </row>
    <row r="26" spans="1:8">
      <c r="A26" s="864" t="s">
        <v>3363</v>
      </c>
      <c r="B26" s="891"/>
      <c r="C26" s="864" t="s">
        <v>3364</v>
      </c>
      <c r="D26" s="892" t="s">
        <v>3552</v>
      </c>
    </row>
    <row r="27" spans="1:8" ht="6" customHeight="1"/>
    <row r="28" spans="1:8" ht="12.75" customHeight="1">
      <c r="C28" s="858" t="s">
        <v>3266</v>
      </c>
      <c r="D28" s="893" t="s">
        <v>2003</v>
      </c>
      <c r="E28" s="894"/>
      <c r="F28" s="3659" t="s">
        <v>3267</v>
      </c>
      <c r="G28" s="3659"/>
      <c r="H28" s="3659"/>
    </row>
    <row r="29" spans="1:8" ht="12.75" customHeight="1">
      <c r="C29" s="895" t="s">
        <v>1365</v>
      </c>
      <c r="D29" s="893" t="s">
        <v>2005</v>
      </c>
      <c r="E29" s="3659" t="s">
        <v>3368</v>
      </c>
      <c r="F29" s="3659"/>
      <c r="G29" s="3659"/>
      <c r="H29" s="3659"/>
    </row>
    <row r="30" spans="1:8" ht="12.75" customHeight="1">
      <c r="E30" s="3659" t="s">
        <v>3548</v>
      </c>
      <c r="F30" s="3659"/>
      <c r="G30" s="3659"/>
      <c r="H30" s="3659"/>
    </row>
    <row r="31" spans="1:8" ht="12.75" customHeight="1">
      <c r="D31" s="896" t="s">
        <v>3367</v>
      </c>
      <c r="E31" s="3659" t="s">
        <v>3549</v>
      </c>
      <c r="F31" s="3659"/>
      <c r="G31" s="3659"/>
      <c r="H31" s="3659"/>
    </row>
    <row r="32" spans="1:8" ht="3" customHeight="1">
      <c r="D32" s="893"/>
      <c r="E32" s="1471"/>
      <c r="F32" s="1471"/>
      <c r="G32" s="1471"/>
      <c r="H32" s="1471"/>
    </row>
    <row r="33" spans="1:11">
      <c r="A33" s="864" t="s">
        <v>3363</v>
      </c>
      <c r="B33" s="891"/>
      <c r="C33" s="864" t="s">
        <v>3365</v>
      </c>
      <c r="D33" s="892" t="s">
        <v>3553</v>
      </c>
    </row>
    <row r="34" spans="1:11" ht="4.5" customHeight="1"/>
    <row r="35" spans="1:11" ht="12.75" customHeight="1">
      <c r="C35" s="858" t="s">
        <v>3266</v>
      </c>
      <c r="D35" s="893" t="s">
        <v>2003</v>
      </c>
      <c r="E35" s="894"/>
      <c r="F35" s="3659" t="s">
        <v>3267</v>
      </c>
      <c r="G35" s="3659"/>
      <c r="H35" s="3659"/>
    </row>
    <row r="36" spans="1:11" ht="12.75" customHeight="1">
      <c r="C36" s="895" t="s">
        <v>1365</v>
      </c>
      <c r="D36" s="893" t="s">
        <v>2005</v>
      </c>
      <c r="E36" s="3659" t="s">
        <v>3369</v>
      </c>
      <c r="F36" s="3659"/>
      <c r="G36" s="3659"/>
      <c r="H36" s="3659"/>
    </row>
    <row r="37" spans="1:11" ht="12.75" customHeight="1">
      <c r="E37" s="3659" t="s">
        <v>3548</v>
      </c>
      <c r="F37" s="3659"/>
      <c r="G37" s="3659"/>
      <c r="H37" s="3659"/>
    </row>
    <row r="38" spans="1:11" ht="12.75" customHeight="1">
      <c r="D38" s="896" t="s">
        <v>3367</v>
      </c>
      <c r="E38" s="3659" t="s">
        <v>3549</v>
      </c>
      <c r="F38" s="3659"/>
      <c r="G38" s="3659"/>
      <c r="H38" s="3659"/>
    </row>
    <row r="39" spans="1:11" ht="3" customHeight="1">
      <c r="D39" s="893"/>
      <c r="E39" s="1471"/>
      <c r="F39" s="1471"/>
      <c r="G39" s="1471"/>
      <c r="H39" s="1471"/>
    </row>
    <row r="40" spans="1:11">
      <c r="A40" s="864" t="s">
        <v>3363</v>
      </c>
      <c r="B40" s="891"/>
      <c r="C40" s="864" t="s">
        <v>3366</v>
      </c>
      <c r="D40" s="892" t="s">
        <v>3554</v>
      </c>
    </row>
    <row r="41" spans="1:11" ht="4.5" customHeight="1"/>
    <row r="42" spans="1:11" ht="12.75" customHeight="1">
      <c r="C42" s="858" t="s">
        <v>3266</v>
      </c>
      <c r="D42" s="893" t="s">
        <v>2003</v>
      </c>
      <c r="E42" s="894"/>
      <c r="F42" s="3659" t="s">
        <v>3267</v>
      </c>
      <c r="G42" s="3659"/>
      <c r="H42" s="3659"/>
      <c r="K42" s="809" t="s">
        <v>245</v>
      </c>
    </row>
    <row r="43" spans="1:11" ht="12.75" customHeight="1">
      <c r="C43" s="895" t="s">
        <v>1365</v>
      </c>
      <c r="D43" s="893" t="s">
        <v>2005</v>
      </c>
      <c r="E43" s="3659" t="s">
        <v>3369</v>
      </c>
      <c r="F43" s="3659"/>
      <c r="G43" s="3659"/>
      <c r="H43" s="3659"/>
    </row>
    <row r="44" spans="1:11" ht="12.75" customHeight="1">
      <c r="E44" s="3659" t="s">
        <v>3548</v>
      </c>
      <c r="F44" s="3659"/>
      <c r="G44" s="3659"/>
      <c r="H44" s="3659"/>
    </row>
    <row r="45" spans="1:11" ht="12.75" customHeight="1">
      <c r="D45" s="896" t="s">
        <v>3367</v>
      </c>
      <c r="E45" s="3659" t="s">
        <v>3549</v>
      </c>
      <c r="F45" s="3659"/>
      <c r="G45" s="3659"/>
      <c r="H45" s="3659"/>
    </row>
    <row r="46" spans="1:11" ht="9" customHeight="1"/>
    <row r="47" spans="1:11" ht="7.5" customHeight="1">
      <c r="E47" s="3659"/>
      <c r="F47" s="3659"/>
      <c r="G47" s="3659"/>
      <c r="H47" s="3659"/>
    </row>
    <row r="48" spans="1:11" ht="24.75" customHeight="1">
      <c r="A48" s="3675" t="s">
        <v>4294</v>
      </c>
      <c r="B48" s="3675"/>
      <c r="C48" s="3675"/>
      <c r="D48" s="3675"/>
      <c r="E48" s="3675"/>
      <c r="F48" s="3675"/>
      <c r="G48" s="3675"/>
      <c r="H48" s="3675"/>
    </row>
    <row r="49" spans="1:11" ht="9" customHeight="1"/>
    <row r="50" spans="1:11" ht="26.25" customHeight="1">
      <c r="A50" s="3676" t="s">
        <v>3550</v>
      </c>
      <c r="B50" s="3676"/>
      <c r="C50" s="3676"/>
      <c r="D50" s="3676"/>
      <c r="E50" s="3676"/>
      <c r="F50" s="3676"/>
      <c r="G50" s="3676"/>
      <c r="H50" s="3676"/>
    </row>
    <row r="51" spans="1:11" ht="9" customHeight="1">
      <c r="A51" s="831"/>
    </row>
    <row r="52" spans="1:11">
      <c r="A52" s="864" t="s">
        <v>3363</v>
      </c>
      <c r="B52" s="891"/>
      <c r="C52" s="864" t="s">
        <v>3364</v>
      </c>
      <c r="D52" s="892" t="s">
        <v>3551</v>
      </c>
    </row>
    <row r="53" spans="1:11" ht="4.5" customHeight="1"/>
    <row r="54" spans="1:11" ht="12.75" customHeight="1">
      <c r="C54" s="858" t="s">
        <v>3266</v>
      </c>
      <c r="D54" s="893" t="s">
        <v>2003</v>
      </c>
      <c r="E54" s="894"/>
      <c r="F54" s="3659" t="s">
        <v>3267</v>
      </c>
      <c r="G54" s="3659"/>
      <c r="H54" s="3659"/>
    </row>
    <row r="55" spans="1:11" ht="12.75" customHeight="1">
      <c r="C55" s="895" t="s">
        <v>1365</v>
      </c>
      <c r="D55" s="893" t="s">
        <v>2005</v>
      </c>
      <c r="E55" s="3659" t="s">
        <v>3557</v>
      </c>
      <c r="F55" s="3659"/>
      <c r="G55" s="3659"/>
      <c r="H55" s="3659"/>
    </row>
    <row r="56" spans="1:11" ht="3" customHeight="1">
      <c r="D56" s="893"/>
      <c r="E56" s="1471"/>
      <c r="F56" s="1471"/>
      <c r="G56" s="1471"/>
      <c r="H56" s="1471"/>
    </row>
    <row r="57" spans="1:11">
      <c r="A57" s="864" t="s">
        <v>3363</v>
      </c>
      <c r="B57" s="891"/>
      <c r="C57" s="864" t="s">
        <v>3365</v>
      </c>
      <c r="D57" s="892" t="s">
        <v>3555</v>
      </c>
    </row>
    <row r="58" spans="1:11" ht="4.5" customHeight="1"/>
    <row r="59" spans="1:11">
      <c r="C59" s="858" t="s">
        <v>3266</v>
      </c>
      <c r="D59" s="893" t="s">
        <v>2003</v>
      </c>
      <c r="E59" s="894"/>
      <c r="F59" s="3659" t="s">
        <v>3267</v>
      </c>
      <c r="G59" s="3659"/>
      <c r="H59" s="3659"/>
    </row>
    <row r="60" spans="1:11" ht="12.75" customHeight="1">
      <c r="C60" s="895" t="s">
        <v>1365</v>
      </c>
      <c r="D60" s="893" t="s">
        <v>2005</v>
      </c>
      <c r="E60" s="3659" t="s">
        <v>3557</v>
      </c>
      <c r="F60" s="3659"/>
      <c r="G60" s="3659"/>
      <c r="H60" s="3659"/>
    </row>
    <row r="61" spans="1:11" ht="3" customHeight="1">
      <c r="D61" s="893"/>
      <c r="E61" s="1471"/>
      <c r="F61" s="1471"/>
      <c r="G61" s="1471"/>
      <c r="H61" s="1471"/>
    </row>
    <row r="62" spans="1:11">
      <c r="A62" s="864" t="s">
        <v>3363</v>
      </c>
      <c r="B62" s="891"/>
      <c r="C62" s="864" t="s">
        <v>3366</v>
      </c>
      <c r="D62" s="892" t="s">
        <v>3556</v>
      </c>
    </row>
    <row r="63" spans="1:11" ht="4.5" customHeight="1"/>
    <row r="64" spans="1:11">
      <c r="C64" s="858" t="s">
        <v>3266</v>
      </c>
      <c r="D64" s="893" t="s">
        <v>2003</v>
      </c>
      <c r="E64" s="894"/>
      <c r="F64" s="3659" t="s">
        <v>3267</v>
      </c>
      <c r="G64" s="3659"/>
      <c r="H64" s="3659"/>
      <c r="K64" s="809" t="s">
        <v>245</v>
      </c>
    </row>
    <row r="65" spans="3:8" ht="12.75" customHeight="1">
      <c r="C65" s="895" t="s">
        <v>1365</v>
      </c>
      <c r="D65" s="893" t="s">
        <v>2005</v>
      </c>
      <c r="E65" s="3659" t="s">
        <v>3557</v>
      </c>
      <c r="F65" s="3659"/>
      <c r="G65" s="3659"/>
      <c r="H65" s="3659"/>
    </row>
    <row r="66" spans="3:8" ht="7.5" customHeight="1">
      <c r="E66" s="3659"/>
      <c r="F66" s="3659"/>
      <c r="G66" s="3659"/>
      <c r="H66" s="365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6" t="s">
        <v>4337</v>
      </c>
      <c r="C1" s="3696"/>
      <c r="D1" s="3696"/>
      <c r="E1" s="3696"/>
      <c r="F1" s="3696"/>
      <c r="G1" s="3696"/>
      <c r="H1" s="3696"/>
      <c r="I1" s="3696"/>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3697" t="s">
        <v>3268</v>
      </c>
      <c r="C4" s="3697"/>
      <c r="D4" s="3697"/>
      <c r="E4" s="3703" t="s">
        <v>3269</v>
      </c>
      <c r="F4" s="3705"/>
      <c r="G4" s="3703" t="s">
        <v>623</v>
      </c>
      <c r="H4" s="3704"/>
      <c r="I4" s="3705"/>
      <c r="J4" s="1485" t="s">
        <v>3113</v>
      </c>
      <c r="K4" s="1485"/>
      <c r="L4" s="1493"/>
      <c r="M4" s="1493"/>
    </row>
    <row r="5" spans="2:13">
      <c r="B5" s="3698" t="str">
        <f>'Closing term sheet'!C8</f>
        <v>Grayling Place, LP</v>
      </c>
      <c r="C5" s="3699"/>
      <c r="D5" s="3699"/>
      <c r="E5" s="3709"/>
      <c r="F5" s="3710"/>
      <c r="G5" s="3706" t="str">
        <f>'Closing term sheet'!C28</f>
        <v>Grayling Place</v>
      </c>
      <c r="H5" s="3707"/>
      <c r="I5" s="3708"/>
      <c r="K5" s="809"/>
    </row>
    <row r="6" spans="2:13" ht="4.5" customHeight="1">
      <c r="D6" s="1494"/>
      <c r="E6" s="1494"/>
      <c r="F6" s="1494"/>
      <c r="G6" s="1494"/>
      <c r="H6" s="1494"/>
      <c r="I6" s="1494"/>
      <c r="K6" s="809"/>
    </row>
    <row r="7" spans="2:13">
      <c r="B7" s="3700" t="s">
        <v>3270</v>
      </c>
      <c r="C7" s="3700"/>
      <c r="D7" s="1495"/>
      <c r="E7" s="1495"/>
      <c r="F7" s="1495"/>
      <c r="G7" s="1495"/>
      <c r="H7" s="3701" t="str">
        <f>'Preview term'!E9</f>
        <v>TBD</v>
      </c>
      <c r="I7" s="3702"/>
    </row>
    <row r="8" spans="2:13" ht="4.5" customHeight="1">
      <c r="B8" s="1495"/>
      <c r="C8" s="1495"/>
      <c r="D8" s="1495"/>
      <c r="E8" s="1495"/>
      <c r="F8" s="1495"/>
      <c r="G8" s="1495"/>
      <c r="H8" s="1495"/>
      <c r="I8" s="1495"/>
      <c r="J8" s="1495"/>
    </row>
    <row r="9" spans="2:13">
      <c r="B9" s="1496" t="s">
        <v>3271</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3272</v>
      </c>
      <c r="C12" s="1501"/>
      <c r="D12" s="1501"/>
      <c r="E12" s="1501"/>
      <c r="F12" s="1501"/>
      <c r="G12" s="1501"/>
      <c r="H12" s="1501"/>
      <c r="I12" s="1502" t="s">
        <v>3015</v>
      </c>
    </row>
    <row r="13" spans="2:13">
      <c r="B13" s="1503"/>
      <c r="C13" s="1504"/>
      <c r="D13" s="1495"/>
      <c r="E13" s="866" t="s">
        <v>3273</v>
      </c>
      <c r="F13" s="1495"/>
      <c r="G13" s="1495"/>
      <c r="H13" s="1495"/>
      <c r="I13" s="1505"/>
    </row>
    <row r="14" spans="2:13" ht="7.5" customHeight="1">
      <c r="B14" s="1506"/>
      <c r="C14" s="1495"/>
      <c r="D14" s="1495"/>
      <c r="E14" s="1495"/>
      <c r="F14" s="1499"/>
      <c r="G14" s="1495"/>
      <c r="H14" s="1495"/>
      <c r="I14" s="1505"/>
    </row>
    <row r="15" spans="2:13">
      <c r="B15" s="1506" t="s">
        <v>3370</v>
      </c>
      <c r="C15" s="1495"/>
      <c r="D15" s="1495"/>
      <c r="E15" s="1495"/>
      <c r="F15" s="886"/>
      <c r="G15" s="1495"/>
      <c r="H15" s="1495"/>
      <c r="I15" s="1507"/>
    </row>
    <row r="16" spans="2:13">
      <c r="B16" s="1508" t="s">
        <v>4328</v>
      </c>
      <c r="C16" s="1495"/>
      <c r="D16" s="1495"/>
      <c r="E16" s="1509" t="s">
        <v>3465</v>
      </c>
      <c r="F16" s="1495"/>
      <c r="G16" s="1495"/>
      <c r="H16" s="1495"/>
      <c r="I16" s="1507"/>
    </row>
    <row r="17" spans="2:9" ht="7.5" customHeight="1">
      <c r="B17" s="1503"/>
      <c r="C17" s="1495"/>
      <c r="D17" s="1495"/>
      <c r="E17" s="1495"/>
      <c r="F17" s="1495"/>
      <c r="G17" s="1495"/>
      <c r="H17" s="1495"/>
      <c r="I17" s="1505"/>
    </row>
    <row r="18" spans="2:9">
      <c r="B18" s="1506" t="s">
        <v>3274</v>
      </c>
      <c r="C18" s="1495"/>
      <c r="D18" s="1495"/>
      <c r="E18" s="1495"/>
      <c r="F18" s="1495"/>
      <c r="G18" s="1495"/>
      <c r="H18" s="1495"/>
      <c r="I18" s="1510" t="s">
        <v>3015</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3275</v>
      </c>
      <c r="C27" s="1495"/>
      <c r="D27" s="1518">
        <v>2</v>
      </c>
      <c r="F27" s="1495"/>
      <c r="G27" s="886" t="s">
        <v>3276</v>
      </c>
      <c r="H27" s="1495"/>
      <c r="I27" s="1519">
        <v>2</v>
      </c>
    </row>
    <row r="28" spans="2:9">
      <c r="B28" s="1503"/>
      <c r="C28" s="1509" t="s">
        <v>3277</v>
      </c>
      <c r="D28" s="1520"/>
      <c r="E28" s="1520"/>
      <c r="F28" s="1520"/>
      <c r="H28" s="1520" t="s">
        <v>3278</v>
      </c>
      <c r="I28" s="1505"/>
    </row>
    <row r="29" spans="2:9">
      <c r="B29" s="1503"/>
      <c r="C29" s="1509" t="s">
        <v>3279</v>
      </c>
      <c r="D29" s="1520"/>
      <c r="E29" s="1520"/>
      <c r="F29" s="1520"/>
      <c r="H29" s="1520" t="s">
        <v>3280</v>
      </c>
      <c r="I29" s="1505"/>
    </row>
    <row r="30" spans="2:9">
      <c r="B30" s="1503"/>
      <c r="C30" s="1509" t="s">
        <v>3281</v>
      </c>
      <c r="D30" s="1520"/>
      <c r="E30" s="1520"/>
      <c r="F30" s="1520"/>
      <c r="H30" s="1520" t="s">
        <v>3282</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3681" t="s">
        <v>4345</v>
      </c>
      <c r="I35" s="3682"/>
    </row>
    <row r="36" spans="2:9">
      <c r="B36" s="1522" t="s">
        <v>4344</v>
      </c>
      <c r="C36" s="1520"/>
      <c r="D36" s="1520"/>
      <c r="E36" s="1495"/>
      <c r="F36" s="1523"/>
      <c r="G36" s="1524"/>
      <c r="H36" s="3681"/>
      <c r="I36" s="3682"/>
    </row>
    <row r="37" spans="2:9">
      <c r="B37" s="1522" t="s">
        <v>4342</v>
      </c>
      <c r="D37" s="1520"/>
      <c r="E37" s="1495"/>
      <c r="F37" s="1525"/>
      <c r="G37" s="1524"/>
      <c r="H37" s="3681"/>
      <c r="I37" s="3682"/>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3283</v>
      </c>
      <c r="C48" s="1520"/>
      <c r="D48" s="1520" t="s">
        <v>3284</v>
      </c>
      <c r="E48" s="1495"/>
      <c r="F48" s="3690" t="str">
        <f>'Closing term sheet'!$C$30</f>
        <v>2551 Wynnton Road</v>
      </c>
      <c r="G48" s="3691"/>
      <c r="H48" s="3691"/>
      <c r="I48" s="3692"/>
    </row>
    <row r="49" spans="2:9">
      <c r="B49" s="1511" t="s">
        <v>3285</v>
      </c>
      <c r="D49" s="1520" t="s">
        <v>3286</v>
      </c>
      <c r="E49" s="1495"/>
      <c r="F49" s="3693"/>
      <c r="G49" s="3694"/>
      <c r="H49" s="3694"/>
      <c r="I49" s="3695"/>
    </row>
    <row r="50" spans="2:9">
      <c r="B50" s="1511" t="s">
        <v>3287</v>
      </c>
      <c r="D50" s="1495"/>
      <c r="E50" s="1495"/>
      <c r="F50" s="1535"/>
      <c r="G50" s="1536"/>
      <c r="H50" s="1536"/>
      <c r="I50" s="1537"/>
    </row>
    <row r="51" spans="2:9" ht="7.5" customHeight="1">
      <c r="B51" s="1503"/>
      <c r="C51" s="1495"/>
      <c r="D51" s="1495"/>
      <c r="E51" s="1495"/>
      <c r="F51" s="1495"/>
      <c r="G51" s="1495"/>
      <c r="H51" s="1495"/>
      <c r="I51" s="1505"/>
    </row>
    <row r="52" spans="2:9">
      <c r="B52" s="1538" t="s">
        <v>4347</v>
      </c>
      <c r="C52" s="3713" t="str">
        <f>'Part I-Project Information'!F38</f>
        <v>Columbus</v>
      </c>
      <c r="D52" s="3714"/>
      <c r="E52" s="1539" t="s">
        <v>4348</v>
      </c>
      <c r="F52" s="1497" t="s">
        <v>856</v>
      </c>
      <c r="G52" s="1539" t="s">
        <v>4349</v>
      </c>
      <c r="H52" s="1540">
        <f>'Part I-Project Information'!J38</f>
        <v>319062100</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67</v>
      </c>
      <c r="E55" s="1543"/>
      <c r="F55" s="866" t="s">
        <v>3288</v>
      </c>
      <c r="G55" s="1495"/>
      <c r="H55" s="1495"/>
      <c r="I55" s="1505"/>
    </row>
    <row r="56" spans="2:9">
      <c r="B56" s="1531" t="s">
        <v>4515</v>
      </c>
      <c r="D56" s="1544">
        <f>'Closing term sheet'!$D$62</f>
        <v>11644384</v>
      </c>
      <c r="E56" s="1545"/>
      <c r="F56" s="866" t="s">
        <v>3289</v>
      </c>
      <c r="G56" s="1495"/>
      <c r="H56" s="1495"/>
      <c r="I56" s="1505"/>
    </row>
    <row r="57" spans="2:9">
      <c r="B57" s="1522" t="s">
        <v>4514</v>
      </c>
      <c r="D57" s="1546"/>
      <c r="F57" s="866" t="s">
        <v>3290</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718" t="s">
        <v>3291</v>
      </c>
      <c r="C61" s="3719"/>
      <c r="D61" s="3719"/>
      <c r="E61" s="3719"/>
      <c r="F61" s="3719"/>
      <c r="G61" s="3719"/>
      <c r="H61" s="3719"/>
      <c r="I61" s="3720"/>
    </row>
    <row r="62" spans="2:9" ht="7.5" customHeight="1">
      <c r="B62" s="3715"/>
      <c r="C62" s="3716"/>
      <c r="D62" s="3716"/>
      <c r="E62" s="1495"/>
      <c r="F62" s="1495"/>
      <c r="G62" s="1547"/>
      <c r="H62" s="1495"/>
      <c r="I62" s="1505"/>
    </row>
    <row r="63" spans="2:9">
      <c r="B63" s="1548" t="s">
        <v>3293</v>
      </c>
      <c r="C63" s="1495"/>
      <c r="D63" s="1542">
        <v>4</v>
      </c>
      <c r="F63" s="1495"/>
      <c r="G63" s="3700" t="s">
        <v>3292</v>
      </c>
      <c r="H63" s="3700"/>
      <c r="I63" s="3717"/>
    </row>
    <row r="64" spans="2:9">
      <c r="B64" s="1503"/>
      <c r="C64" s="1520" t="s">
        <v>3296</v>
      </c>
      <c r="D64" s="1520" t="s">
        <v>3297</v>
      </c>
      <c r="F64" s="1495"/>
      <c r="G64" s="878" t="s">
        <v>3294</v>
      </c>
      <c r="H64" s="1495"/>
      <c r="I64" s="1549">
        <f>'Closing term sheet'!$D$35</f>
        <v>84</v>
      </c>
    </row>
    <row r="65" spans="2:9">
      <c r="B65" s="1503"/>
      <c r="C65" s="1520" t="s">
        <v>3298</v>
      </c>
      <c r="D65" s="1520" t="s">
        <v>3299</v>
      </c>
      <c r="F65" s="1495"/>
      <c r="G65" s="1550" t="s">
        <v>3295</v>
      </c>
      <c r="H65" s="1495"/>
      <c r="I65" s="1549">
        <f>C42</f>
        <v>0</v>
      </c>
    </row>
    <row r="66" spans="2:9">
      <c r="B66" s="1511"/>
      <c r="C66" s="1520" t="s">
        <v>3300</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3301</v>
      </c>
      <c r="C70" s="1495"/>
      <c r="D70" s="1495"/>
      <c r="E70" s="1495"/>
      <c r="F70" s="1495"/>
      <c r="G70" s="1495"/>
      <c r="H70" s="1495"/>
      <c r="I70" s="1505"/>
    </row>
    <row r="71" spans="2:9" ht="7.5" customHeight="1">
      <c r="B71" s="1503"/>
      <c r="C71" s="1495"/>
      <c r="D71" s="1495"/>
      <c r="E71" s="1495"/>
      <c r="F71" s="1495"/>
      <c r="G71" s="1495"/>
      <c r="H71" s="1495"/>
      <c r="I71" s="1505"/>
    </row>
    <row r="72" spans="2:9">
      <c r="B72" s="1506" t="s">
        <v>3302</v>
      </c>
      <c r="D72" s="1495"/>
      <c r="E72" s="1495"/>
      <c r="F72" s="1495"/>
      <c r="G72" s="1495"/>
      <c r="H72" s="1495"/>
      <c r="I72" s="1533"/>
    </row>
    <row r="73" spans="2:9" ht="7.5" customHeight="1">
      <c r="B73" s="1503"/>
      <c r="C73" s="1495"/>
      <c r="D73" s="1495"/>
      <c r="E73" s="1495"/>
      <c r="F73" s="1495"/>
      <c r="G73" s="1495"/>
      <c r="H73" s="1495"/>
      <c r="I73" s="1505"/>
    </row>
    <row r="74" spans="2:9">
      <c r="B74" s="1503" t="s">
        <v>3303</v>
      </c>
      <c r="D74" s="1495"/>
      <c r="E74" s="1495"/>
      <c r="F74" s="1495" t="s">
        <v>3371</v>
      </c>
      <c r="G74" s="1495"/>
      <c r="H74" s="1495"/>
      <c r="I74" s="1552"/>
    </row>
    <row r="75" spans="2:9">
      <c r="B75" s="1503"/>
      <c r="E75" s="1495"/>
      <c r="F75" s="1495" t="s">
        <v>3372</v>
      </c>
      <c r="G75" s="1495"/>
      <c r="H75" s="1495"/>
      <c r="I75" s="1552"/>
    </row>
    <row r="76" spans="2:9">
      <c r="B76" s="1503"/>
      <c r="E76" s="1495"/>
      <c r="F76" s="1495" t="s">
        <v>3373</v>
      </c>
      <c r="G76" s="1495"/>
      <c r="H76" s="1495"/>
      <c r="I76" s="1552"/>
    </row>
    <row r="77" spans="2:9">
      <c r="B77" s="1503"/>
      <c r="E77" s="1495"/>
      <c r="F77" s="886" t="s">
        <v>3374</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718" t="s">
        <v>3304</v>
      </c>
      <c r="C81" s="3719"/>
      <c r="D81" s="3719"/>
      <c r="E81" s="3719"/>
      <c r="F81" s="3719"/>
      <c r="G81" s="3719"/>
      <c r="H81" s="3719"/>
      <c r="I81" s="3720"/>
    </row>
    <row r="82" spans="2:9">
      <c r="B82" s="1503"/>
      <c r="C82" s="1495"/>
      <c r="D82" s="1495"/>
      <c r="E82" s="1495"/>
      <c r="F82" s="1495"/>
      <c r="G82" s="1495"/>
      <c r="H82" s="1495"/>
      <c r="I82" s="1505"/>
    </row>
    <row r="83" spans="2:9">
      <c r="B83" s="1506" t="s">
        <v>3305</v>
      </c>
      <c r="C83" s="1495"/>
      <c r="D83" s="1495"/>
      <c r="E83" s="1495"/>
      <c r="F83" s="1495"/>
      <c r="G83" s="1495"/>
      <c r="H83" s="1495"/>
      <c r="I83" s="1505"/>
    </row>
    <row r="84" spans="2:9">
      <c r="B84" s="1503"/>
      <c r="C84" s="886" t="s">
        <v>3306</v>
      </c>
      <c r="D84" s="1495"/>
      <c r="E84" s="1495"/>
      <c r="F84" s="3686">
        <f>'Closing term sheet'!D62</f>
        <v>11644384</v>
      </c>
      <c r="G84" s="3686"/>
      <c r="H84" s="1495"/>
      <c r="I84" s="1505"/>
    </row>
    <row r="85" spans="2:9">
      <c r="B85" s="1503"/>
      <c r="C85" s="886" t="s">
        <v>3307</v>
      </c>
      <c r="D85" s="1495"/>
      <c r="E85" s="1495"/>
      <c r="F85" s="3712">
        <f>'Part III-Sources of Funds'!I44+'Part III-Sources of Funds'!I45</f>
        <v>493318.82893337042</v>
      </c>
      <c r="G85" s="3712"/>
      <c r="H85" s="1495"/>
      <c r="I85" s="1505"/>
    </row>
    <row r="86" spans="2:9">
      <c r="B86" s="1503"/>
      <c r="C86" s="886" t="s">
        <v>3308</v>
      </c>
      <c r="D86" s="1495"/>
      <c r="E86" s="1495"/>
      <c r="F86" s="3711"/>
      <c r="G86" s="3711"/>
      <c r="H86" s="1495"/>
      <c r="I86" s="1505"/>
    </row>
    <row r="87" spans="2:9">
      <c r="B87" s="1503"/>
      <c r="C87" s="1520" t="s">
        <v>3309</v>
      </c>
      <c r="D87" s="1495"/>
      <c r="E87" s="1495"/>
      <c r="F87" s="3712">
        <v>11000</v>
      </c>
      <c r="G87" s="3712"/>
      <c r="H87" s="1495"/>
      <c r="I87" s="1505"/>
    </row>
    <row r="88" spans="2:9">
      <c r="B88" s="1503"/>
      <c r="C88" s="886" t="s">
        <v>3310</v>
      </c>
      <c r="D88" s="1495"/>
      <c r="E88" s="1495"/>
      <c r="F88" s="3689"/>
      <c r="G88" s="3689"/>
      <c r="H88" s="1495"/>
      <c r="I88" s="1505"/>
    </row>
    <row r="89" spans="2:9">
      <c r="B89" s="1503"/>
      <c r="C89" s="866" t="s">
        <v>3311</v>
      </c>
      <c r="D89" s="1495"/>
      <c r="E89" s="1495"/>
      <c r="F89" s="3684">
        <f>SUM(F84:G88)</f>
        <v>12148702.828933371</v>
      </c>
      <c r="G89" s="3684"/>
      <c r="H89" s="1495"/>
      <c r="I89" s="1505"/>
    </row>
    <row r="90" spans="2:9">
      <c r="B90" s="1503"/>
      <c r="C90" s="1495"/>
      <c r="D90" s="1495"/>
      <c r="E90" s="1495"/>
      <c r="F90" s="3685"/>
      <c r="G90" s="3685"/>
      <c r="H90" s="1495"/>
      <c r="I90" s="1505"/>
    </row>
    <row r="91" spans="2:9">
      <c r="B91" s="1506" t="s">
        <v>3312</v>
      </c>
      <c r="C91" s="1495"/>
      <c r="D91" s="1495"/>
      <c r="E91" s="1495"/>
      <c r="F91" s="1495"/>
      <c r="G91" s="1495"/>
      <c r="H91" s="1495"/>
      <c r="I91" s="1505"/>
    </row>
    <row r="92" spans="2:9">
      <c r="B92" s="1503"/>
      <c r="C92" s="886" t="s">
        <v>3313</v>
      </c>
      <c r="D92" s="1495"/>
      <c r="E92" s="1495"/>
      <c r="F92" s="3686"/>
      <c r="G92" s="3686"/>
      <c r="H92" s="1495"/>
      <c r="I92" s="1505"/>
    </row>
    <row r="93" spans="2:9">
      <c r="B93" s="1503"/>
      <c r="C93" s="886" t="s">
        <v>3314</v>
      </c>
      <c r="D93" s="1495"/>
      <c r="E93" s="1495"/>
      <c r="F93" s="3687"/>
      <c r="G93" s="3687"/>
      <c r="H93" s="1495"/>
      <c r="I93" s="1505"/>
    </row>
    <row r="94" spans="2:9">
      <c r="B94" s="1503"/>
      <c r="C94" s="886" t="s">
        <v>3315</v>
      </c>
      <c r="D94" s="1495"/>
      <c r="E94" s="1495"/>
      <c r="F94" s="3688" t="s">
        <v>3189</v>
      </c>
      <c r="G94" s="3683"/>
      <c r="H94" s="1495"/>
      <c r="I94" s="1505"/>
    </row>
    <row r="95" spans="2:9">
      <c r="B95" s="1503"/>
      <c r="C95" s="866" t="s">
        <v>3316</v>
      </c>
      <c r="D95" s="1495"/>
      <c r="E95" s="1495"/>
      <c r="F95" s="3684">
        <f>+SUM(F92:G94)</f>
        <v>0</v>
      </c>
      <c r="G95" s="3684"/>
      <c r="H95" s="1495"/>
      <c r="I95" s="1505"/>
    </row>
    <row r="96" spans="2:9">
      <c r="B96" s="1503"/>
      <c r="C96" s="1495"/>
      <c r="D96" s="1495"/>
      <c r="E96" s="1495"/>
      <c r="F96" s="1495"/>
      <c r="G96" s="1495"/>
      <c r="H96" s="1495"/>
      <c r="I96" s="1505"/>
    </row>
    <row r="97" spans="2:9">
      <c r="B97" s="1506" t="s">
        <v>3317</v>
      </c>
      <c r="C97" s="1495"/>
      <c r="D97" s="1495"/>
      <c r="E97" s="1495"/>
      <c r="F97" s="1495"/>
      <c r="G97" s="1495"/>
      <c r="H97" s="1495"/>
      <c r="I97" s="1505"/>
    </row>
    <row r="98" spans="2:9">
      <c r="B98" s="1503"/>
      <c r="C98" s="886" t="s">
        <v>3318</v>
      </c>
      <c r="D98" s="1495"/>
      <c r="E98" s="1495"/>
      <c r="F98" s="3686"/>
      <c r="G98" s="3686"/>
      <c r="H98" s="1495"/>
      <c r="I98" s="1505"/>
    </row>
    <row r="99" spans="2:9">
      <c r="B99" s="1503"/>
      <c r="C99" s="886" t="s">
        <v>3319</v>
      </c>
      <c r="D99" s="1495"/>
      <c r="E99" s="1495"/>
      <c r="F99" s="3687"/>
      <c r="G99" s="3687"/>
      <c r="H99" s="1495"/>
      <c r="I99" s="1505"/>
    </row>
    <row r="100" spans="2:9">
      <c r="B100" s="1503"/>
      <c r="C100" s="886" t="s">
        <v>3320</v>
      </c>
      <c r="D100" s="1495"/>
      <c r="E100" s="1495"/>
      <c r="F100" s="3689"/>
      <c r="G100" s="3689"/>
      <c r="H100" s="1495"/>
      <c r="I100" s="1505"/>
    </row>
    <row r="101" spans="2:9">
      <c r="B101" s="1503"/>
      <c r="C101" s="866" t="s">
        <v>3321</v>
      </c>
      <c r="D101" s="1495"/>
      <c r="E101" s="1495"/>
      <c r="F101" s="3684">
        <f>+SUM(F98:G100)</f>
        <v>0</v>
      </c>
      <c r="G101" s="3684"/>
      <c r="H101" s="1495"/>
      <c r="I101" s="1505"/>
    </row>
    <row r="102" spans="2:9">
      <c r="B102" s="1503"/>
      <c r="C102" s="1495"/>
      <c r="D102" s="1495"/>
      <c r="E102" s="1495"/>
      <c r="F102" s="1495"/>
      <c r="G102" s="1495"/>
      <c r="H102" s="1495"/>
      <c r="I102" s="1505"/>
    </row>
    <row r="103" spans="2:9">
      <c r="B103" s="1548" t="s">
        <v>3322</v>
      </c>
      <c r="C103" s="886"/>
      <c r="D103" s="1495"/>
      <c r="E103" s="1495"/>
      <c r="F103" s="3683">
        <f>'Part III-Sources of Funds'!I46+'Part III-Sources of Funds'!I47</f>
        <v>0</v>
      </c>
      <c r="G103" s="3683"/>
      <c r="H103" s="1495"/>
      <c r="I103" s="1505"/>
    </row>
    <row r="104" spans="2:9">
      <c r="B104" s="1503"/>
      <c r="C104" s="1495"/>
      <c r="D104" s="1495"/>
      <c r="E104" s="1495"/>
      <c r="F104" s="1495"/>
      <c r="G104" s="1495"/>
      <c r="H104" s="1495"/>
      <c r="I104" s="1553" t="s">
        <v>3323</v>
      </c>
    </row>
    <row r="105" spans="2:9">
      <c r="B105" s="1506" t="s">
        <v>3324</v>
      </c>
      <c r="C105" s="1495"/>
      <c r="D105" s="1495"/>
      <c r="E105" s="1495"/>
      <c r="F105" s="3683">
        <f>+F103+F101+F95+F89</f>
        <v>12148702.828933371</v>
      </c>
      <c r="G105" s="3683"/>
      <c r="H105" s="1495"/>
      <c r="I105" s="1505"/>
    </row>
    <row r="106" spans="2:9">
      <c r="B106" s="1513"/>
      <c r="C106" s="1514"/>
      <c r="D106" s="1514"/>
      <c r="E106" s="1514"/>
      <c r="F106" s="1514"/>
      <c r="G106" s="1514"/>
      <c r="H106" s="1514"/>
      <c r="I106" s="1515"/>
    </row>
    <row r="108" spans="2:9">
      <c r="C108" s="1554" t="s">
        <v>3012</v>
      </c>
    </row>
    <row r="109" spans="2:9">
      <c r="C109" s="1554"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8" t="s">
        <v>2770</v>
      </c>
      <c r="B5" s="3728"/>
      <c r="C5" s="3728"/>
      <c r="D5" s="3728"/>
      <c r="E5" s="3728"/>
      <c r="F5" s="3728"/>
      <c r="G5" s="3728"/>
      <c r="H5" s="3728"/>
      <c r="I5" s="3728"/>
      <c r="J5" s="3728"/>
      <c r="K5" s="3728"/>
      <c r="L5" s="3728"/>
      <c r="M5" s="3728"/>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5" t="s">
        <v>1922</v>
      </c>
      <c r="B9" s="3725"/>
      <c r="C9" s="3725"/>
      <c r="D9" s="3725"/>
      <c r="E9" s="3725"/>
      <c r="F9" s="3725"/>
      <c r="G9" s="3725"/>
      <c r="H9" s="3725"/>
      <c r="I9" s="3725"/>
      <c r="J9" s="3725"/>
      <c r="K9" s="3725"/>
      <c r="L9" s="3725"/>
      <c r="M9" s="3725"/>
    </row>
    <row r="10" spans="1:26" ht="6.75" customHeight="1">
      <c r="A10" s="3725"/>
      <c r="B10" s="3725"/>
      <c r="C10" s="3725"/>
      <c r="D10" s="3725"/>
      <c r="E10" s="3725"/>
      <c r="F10" s="3725"/>
      <c r="G10" s="3725"/>
      <c r="H10" s="3725"/>
      <c r="I10" s="3725"/>
      <c r="J10" s="3725"/>
      <c r="K10" s="3725"/>
      <c r="L10" s="3725"/>
      <c r="M10" s="3725"/>
    </row>
    <row r="11" spans="1:26" ht="44.25" customHeight="1">
      <c r="A11" s="3729" t="s">
        <v>4130</v>
      </c>
      <c r="B11" s="3729"/>
      <c r="C11" s="3729"/>
      <c r="D11" s="3729"/>
      <c r="E11" s="3729"/>
      <c r="F11" s="3729"/>
      <c r="G11" s="3729"/>
      <c r="H11" s="3729"/>
      <c r="I11" s="3729"/>
      <c r="J11" s="3729"/>
      <c r="K11" s="3729"/>
      <c r="L11" s="3729"/>
      <c r="M11" s="3729"/>
    </row>
    <row r="12" spans="1:26" ht="3" customHeight="1">
      <c r="A12" s="3725"/>
      <c r="B12" s="3725"/>
      <c r="C12" s="3725"/>
      <c r="D12" s="3725"/>
      <c r="E12" s="3725"/>
      <c r="F12" s="3725"/>
      <c r="G12" s="3725"/>
      <c r="H12" s="3725"/>
      <c r="I12" s="3725"/>
      <c r="J12" s="3725"/>
      <c r="K12" s="3725"/>
      <c r="L12" s="3725"/>
      <c r="M12" s="3725"/>
    </row>
    <row r="13" spans="1:26" ht="96" customHeight="1">
      <c r="A13" s="2182" t="s">
        <v>1750</v>
      </c>
      <c r="B13" s="3726" t="s">
        <v>3703</v>
      </c>
      <c r="C13" s="3726"/>
      <c r="D13" s="3726"/>
      <c r="E13" s="3726"/>
      <c r="F13" s="3726"/>
      <c r="G13" s="3726"/>
      <c r="H13" s="3726"/>
      <c r="I13" s="3726"/>
      <c r="J13" s="3726"/>
      <c r="K13" s="3726"/>
      <c r="L13" s="3726"/>
      <c r="M13" s="3726"/>
    </row>
    <row r="14" spans="1:26" ht="47.25" customHeight="1">
      <c r="A14" s="2182" t="s">
        <v>1751</v>
      </c>
      <c r="B14" s="3726" t="s">
        <v>3704</v>
      </c>
      <c r="C14" s="3726"/>
      <c r="D14" s="3726"/>
      <c r="E14" s="3726"/>
      <c r="F14" s="3726"/>
      <c r="G14" s="3726"/>
      <c r="H14" s="3726"/>
      <c r="I14" s="3726"/>
      <c r="J14" s="3726"/>
      <c r="K14" s="3726"/>
      <c r="L14" s="3726"/>
      <c r="M14" s="3726"/>
    </row>
    <row r="15" spans="1:26" ht="117" customHeight="1">
      <c r="A15" s="2182" t="s">
        <v>1752</v>
      </c>
      <c r="B15" s="3726" t="s">
        <v>3705</v>
      </c>
      <c r="C15" s="3726"/>
      <c r="D15" s="3726"/>
      <c r="E15" s="3726"/>
      <c r="F15" s="3726"/>
      <c r="G15" s="3726"/>
      <c r="H15" s="3726"/>
      <c r="I15" s="3726"/>
      <c r="J15" s="3726"/>
      <c r="K15" s="3726"/>
      <c r="L15" s="3726"/>
      <c r="M15" s="3726"/>
    </row>
    <row r="16" spans="1:26" ht="147" customHeight="1">
      <c r="A16" s="2182" t="s">
        <v>2382</v>
      </c>
      <c r="B16" s="3726" t="s">
        <v>3481</v>
      </c>
      <c r="C16" s="3726"/>
      <c r="D16" s="3726"/>
      <c r="E16" s="3726"/>
      <c r="F16" s="3726"/>
      <c r="G16" s="3726"/>
      <c r="H16" s="3726"/>
      <c r="I16" s="3726"/>
      <c r="J16" s="3726"/>
      <c r="K16" s="3726"/>
      <c r="L16" s="3726"/>
      <c r="M16" s="3726"/>
    </row>
    <row r="17" spans="1:13" ht="48.75" customHeight="1">
      <c r="A17" s="2182" t="s">
        <v>1561</v>
      </c>
      <c r="B17" s="3726" t="s">
        <v>689</v>
      </c>
      <c r="C17" s="3726"/>
      <c r="D17" s="3726"/>
      <c r="E17" s="3726"/>
      <c r="F17" s="3726"/>
      <c r="G17" s="3726"/>
      <c r="H17" s="3726"/>
      <c r="I17" s="3726"/>
      <c r="J17" s="3726"/>
      <c r="K17" s="3726"/>
      <c r="L17" s="3726"/>
      <c r="M17" s="3726"/>
    </row>
    <row r="18" spans="1:13" ht="165" customHeight="1">
      <c r="A18" s="2182" t="s">
        <v>1562</v>
      </c>
      <c r="B18" s="3726" t="s">
        <v>3480</v>
      </c>
      <c r="C18" s="3726"/>
      <c r="D18" s="3726"/>
      <c r="E18" s="3726"/>
      <c r="F18" s="3726"/>
      <c r="G18" s="3726"/>
      <c r="H18" s="3726"/>
      <c r="I18" s="3726"/>
      <c r="J18" s="3726"/>
      <c r="K18" s="3726"/>
      <c r="L18" s="3726"/>
      <c r="M18" s="3726"/>
    </row>
    <row r="19" spans="1:13" ht="48.75" customHeight="1">
      <c r="A19" s="2182" t="s">
        <v>99</v>
      </c>
      <c r="B19" s="3727" t="s">
        <v>3706</v>
      </c>
      <c r="C19" s="3727"/>
      <c r="D19" s="3727"/>
      <c r="E19" s="3727"/>
      <c r="F19" s="3727"/>
      <c r="G19" s="3727"/>
      <c r="H19" s="3727"/>
      <c r="I19" s="3727"/>
      <c r="J19" s="3727"/>
      <c r="K19" s="3727"/>
      <c r="L19" s="3727"/>
      <c r="M19" s="3727"/>
    </row>
    <row r="20" spans="1:13" ht="50.25" customHeight="1">
      <c r="A20" s="2182" t="s">
        <v>516</v>
      </c>
      <c r="B20" s="3726" t="s">
        <v>3483</v>
      </c>
      <c r="C20" s="3726"/>
      <c r="D20" s="3726"/>
      <c r="E20" s="3726"/>
      <c r="F20" s="3726"/>
      <c r="G20" s="3726"/>
      <c r="H20" s="3726"/>
      <c r="I20" s="3726"/>
      <c r="J20" s="3726"/>
      <c r="K20" s="3726"/>
      <c r="L20" s="3726"/>
      <c r="M20" s="3726"/>
    </row>
    <row r="21" spans="1:13" ht="31.5" customHeight="1">
      <c r="A21" s="2182" t="s">
        <v>517</v>
      </c>
      <c r="B21" s="3726" t="s">
        <v>3511</v>
      </c>
      <c r="C21" s="3726"/>
      <c r="D21" s="3726"/>
      <c r="E21" s="3726"/>
      <c r="F21" s="3726"/>
      <c r="G21" s="3726"/>
      <c r="H21" s="3726"/>
      <c r="I21" s="3726"/>
      <c r="J21" s="3726"/>
      <c r="K21" s="3726"/>
      <c r="L21" s="3726"/>
      <c r="M21" s="3726"/>
    </row>
    <row r="22" spans="1:13" ht="1.5" customHeight="1">
      <c r="A22" s="3725"/>
      <c r="B22" s="3725"/>
      <c r="C22" s="3725"/>
      <c r="D22" s="3725"/>
      <c r="E22" s="3725"/>
      <c r="F22" s="3725"/>
      <c r="G22" s="3725"/>
      <c r="H22" s="3725"/>
      <c r="I22" s="3725"/>
      <c r="J22" s="3725"/>
      <c r="K22" s="3725"/>
      <c r="L22" s="3725"/>
      <c r="M22" s="3725"/>
    </row>
    <row r="23" spans="1:13" ht="3" customHeight="1">
      <c r="A23" s="3725"/>
      <c r="B23" s="3725"/>
      <c r="C23" s="3725"/>
      <c r="D23" s="3725"/>
      <c r="E23" s="3725"/>
      <c r="F23" s="3725"/>
      <c r="G23" s="3725"/>
      <c r="H23" s="3725"/>
      <c r="I23" s="3725"/>
      <c r="J23" s="3725"/>
      <c r="K23" s="3725"/>
      <c r="L23" s="3725"/>
      <c r="M23" s="3725"/>
    </row>
    <row r="24" spans="1:13" ht="13.5" customHeight="1">
      <c r="A24" s="3725" t="s">
        <v>1477</v>
      </c>
      <c r="B24" s="3725"/>
      <c r="C24" s="3725"/>
      <c r="D24" s="3725"/>
      <c r="E24" s="3725"/>
      <c r="F24" s="3725"/>
      <c r="G24" s="3725"/>
      <c r="H24" s="3725"/>
      <c r="I24" s="3725"/>
      <c r="J24" s="3725"/>
      <c r="K24" s="3725"/>
      <c r="L24" s="3725"/>
      <c r="M24" s="3725"/>
    </row>
    <row r="25" spans="1:13" ht="32.25" customHeight="1">
      <c r="A25" s="2182" t="s">
        <v>1478</v>
      </c>
      <c r="B25" s="3726" t="s">
        <v>3512</v>
      </c>
      <c r="C25" s="3726"/>
      <c r="D25" s="3726"/>
      <c r="E25" s="3726"/>
      <c r="F25" s="3726"/>
      <c r="G25" s="3726"/>
      <c r="H25" s="3726"/>
      <c r="I25" s="3726"/>
      <c r="J25" s="3726"/>
      <c r="K25" s="3726"/>
      <c r="L25" s="3726"/>
      <c r="M25" s="3726"/>
    </row>
    <row r="26" spans="1:13" ht="31.5" customHeight="1">
      <c r="A26" s="2182" t="s">
        <v>1478</v>
      </c>
      <c r="B26" s="3726" t="s">
        <v>3513</v>
      </c>
      <c r="C26" s="3726"/>
      <c r="D26" s="3726"/>
      <c r="E26" s="3726"/>
      <c r="F26" s="3726"/>
      <c r="G26" s="3726"/>
      <c r="H26" s="3726"/>
      <c r="I26" s="3726"/>
      <c r="J26" s="3726"/>
      <c r="K26" s="3726"/>
      <c r="L26" s="3726"/>
      <c r="M26" s="3726"/>
    </row>
    <row r="27" spans="1:13" ht="78.75" customHeight="1">
      <c r="A27" s="2182" t="s">
        <v>1478</v>
      </c>
      <c r="B27" s="3726" t="s">
        <v>2771</v>
      </c>
      <c r="C27" s="3726"/>
      <c r="D27" s="3726"/>
      <c r="E27" s="3726"/>
      <c r="F27" s="3726"/>
      <c r="G27" s="3726"/>
      <c r="H27" s="3726"/>
      <c r="I27" s="3726"/>
      <c r="J27" s="3726"/>
      <c r="K27" s="3726"/>
      <c r="L27" s="3726"/>
      <c r="M27" s="3726"/>
    </row>
    <row r="28" spans="1:13" ht="7.5" customHeight="1">
      <c r="A28" s="3725"/>
      <c r="B28" s="3725"/>
      <c r="C28" s="3725"/>
      <c r="D28" s="3725"/>
      <c r="E28" s="3725"/>
      <c r="F28" s="3725"/>
      <c r="G28" s="3725"/>
      <c r="H28" s="3725"/>
      <c r="I28" s="3725"/>
      <c r="J28" s="3725"/>
      <c r="K28" s="3725"/>
      <c r="L28" s="3725"/>
      <c r="M28" s="3725"/>
    </row>
    <row r="29" spans="1:13" ht="43.5" customHeight="1">
      <c r="A29" s="3726" t="s">
        <v>955</v>
      </c>
      <c r="B29" s="3726"/>
      <c r="C29" s="3726"/>
      <c r="D29" s="3726"/>
      <c r="E29" s="3726"/>
      <c r="F29" s="3726"/>
      <c r="G29" s="3726"/>
      <c r="H29" s="3726"/>
      <c r="I29" s="3726"/>
      <c r="J29" s="3726"/>
      <c r="K29" s="3726"/>
      <c r="L29" s="3726"/>
      <c r="M29" s="3726"/>
    </row>
    <row r="30" spans="1:13" ht="3" customHeight="1">
      <c r="A30" s="3725"/>
      <c r="B30" s="3725"/>
      <c r="C30" s="3725"/>
      <c r="D30" s="3725"/>
      <c r="E30" s="3725"/>
      <c r="F30" s="3725"/>
      <c r="G30" s="3725"/>
      <c r="H30" s="3725"/>
      <c r="I30" s="3725"/>
      <c r="J30" s="3725"/>
      <c r="K30" s="3725"/>
      <c r="L30" s="3725"/>
      <c r="M30" s="3725"/>
    </row>
    <row r="31" spans="1:13" ht="32.25" customHeight="1">
      <c r="A31" s="3726" t="s">
        <v>2772</v>
      </c>
      <c r="B31" s="3726"/>
      <c r="C31" s="3726"/>
      <c r="D31" s="3726"/>
      <c r="E31" s="3726"/>
      <c r="F31" s="3726"/>
      <c r="G31" s="3726"/>
      <c r="H31" s="3726"/>
      <c r="I31" s="3726"/>
      <c r="J31" s="3726"/>
      <c r="K31" s="3726"/>
      <c r="L31" s="3726"/>
      <c r="M31" s="3726"/>
    </row>
    <row r="32" spans="1:13" ht="4.5" customHeight="1">
      <c r="A32" s="3725"/>
      <c r="B32" s="3725"/>
      <c r="C32" s="3725"/>
      <c r="D32" s="3725"/>
      <c r="E32" s="3725"/>
      <c r="F32" s="3725"/>
      <c r="G32" s="3725"/>
      <c r="H32" s="3725"/>
      <c r="I32" s="3725"/>
      <c r="J32" s="3725"/>
      <c r="K32" s="3725"/>
      <c r="L32" s="3725"/>
      <c r="M32" s="3725"/>
    </row>
    <row r="33" spans="1:13" ht="16.5">
      <c r="A33" s="3725" t="s">
        <v>931</v>
      </c>
      <c r="B33" s="3725"/>
      <c r="C33" s="3725"/>
      <c r="D33" s="3725"/>
      <c r="E33" s="3725"/>
      <c r="F33" s="3725"/>
      <c r="G33" s="3725"/>
      <c r="H33" s="3725"/>
      <c r="I33" s="3725"/>
      <c r="J33" s="3725"/>
      <c r="K33" s="3725"/>
      <c r="L33" s="3725"/>
      <c r="M33" s="3725"/>
    </row>
    <row r="34" spans="1:13" ht="6" customHeight="1">
      <c r="A34" s="2183"/>
      <c r="B34" s="2183"/>
      <c r="C34" s="2183"/>
      <c r="D34" s="2183"/>
      <c r="E34" s="2183"/>
      <c r="F34" s="2183"/>
      <c r="G34" s="2183"/>
      <c r="H34" s="2183"/>
      <c r="I34" s="2183"/>
      <c r="J34" s="2183"/>
      <c r="K34" s="2183"/>
      <c r="L34" s="2183"/>
      <c r="M34" s="2183"/>
    </row>
    <row r="35" spans="1:13" ht="16.5">
      <c r="A35" s="3721"/>
      <c r="B35" s="3721"/>
      <c r="C35" s="3721"/>
      <c r="D35" s="3721"/>
      <c r="E35" s="3721"/>
      <c r="F35" s="3721"/>
      <c r="G35" s="2184"/>
      <c r="H35" s="3721"/>
      <c r="I35" s="3721"/>
      <c r="J35" s="3721"/>
      <c r="K35" s="3721"/>
      <c r="L35" s="3721"/>
      <c r="M35" s="3721"/>
    </row>
    <row r="36" spans="1:13" ht="12" customHeight="1">
      <c r="A36" s="3723" t="s">
        <v>932</v>
      </c>
      <c r="B36" s="3723"/>
      <c r="C36" s="3723"/>
      <c r="D36" s="3723"/>
      <c r="E36" s="3723"/>
      <c r="F36" s="3723"/>
      <c r="G36" s="2184"/>
      <c r="H36" s="3723" t="s">
        <v>1997</v>
      </c>
      <c r="I36" s="3723"/>
      <c r="J36" s="3723"/>
      <c r="K36" s="3723"/>
      <c r="L36" s="3723"/>
      <c r="M36" s="3723"/>
    </row>
    <row r="37" spans="1:13" ht="6" customHeight="1">
      <c r="A37" s="2184"/>
      <c r="B37" s="2184"/>
      <c r="C37" s="2184"/>
      <c r="D37" s="2184"/>
      <c r="E37" s="2184"/>
      <c r="F37" s="2184"/>
      <c r="G37" s="2184"/>
      <c r="H37" s="2184"/>
      <c r="I37" s="2184"/>
      <c r="J37" s="2184"/>
      <c r="K37" s="2184"/>
      <c r="L37" s="2184"/>
      <c r="M37" s="2184"/>
    </row>
    <row r="38" spans="1:13" ht="16.5">
      <c r="A38" s="3721"/>
      <c r="B38" s="3721"/>
      <c r="C38" s="3721"/>
      <c r="D38" s="3721"/>
      <c r="E38" s="3721"/>
      <c r="F38" s="3721"/>
      <c r="G38" s="2184"/>
      <c r="H38" s="3722"/>
      <c r="I38" s="3722"/>
      <c r="J38" s="3722"/>
      <c r="K38" s="3722"/>
      <c r="L38" s="3722"/>
      <c r="M38" s="3722"/>
    </row>
    <row r="39" spans="1:13" ht="12" customHeight="1">
      <c r="A39" s="3723" t="s">
        <v>933</v>
      </c>
      <c r="B39" s="3723"/>
      <c r="C39" s="3723"/>
      <c r="D39" s="3723"/>
      <c r="E39" s="3723"/>
      <c r="F39" s="3723"/>
      <c r="G39" s="2184"/>
      <c r="H39" s="3723" t="s">
        <v>934</v>
      </c>
      <c r="I39" s="3723"/>
      <c r="J39" s="3723"/>
      <c r="K39" s="3723"/>
      <c r="L39" s="3723"/>
      <c r="M39" s="3723"/>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24" t="s">
        <v>935</v>
      </c>
      <c r="I41" s="3724"/>
      <c r="J41" s="3724"/>
      <c r="K41" s="3724"/>
      <c r="L41" s="3724"/>
      <c r="M41" s="3724"/>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3xiT4QCCxfw5aQeQZVD/4jLV2EXDKQZMV4eG5LuRbPjVbMqC+zKjGN4UlHiA5SgBQOaXgIeiJ8kQfnbjQH2mvQ==" saltValue="BkR/rZQcI3p+Xc0nBX7OB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activeCell="A5"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39" t="s">
        <v>729</v>
      </c>
      <c r="B2" s="3740"/>
      <c r="C2" s="3740"/>
      <c r="D2" s="3740"/>
      <c r="E2" s="3740"/>
      <c r="F2" s="3740"/>
      <c r="G2" s="3740"/>
      <c r="H2" s="3740"/>
      <c r="I2" s="3740"/>
      <c r="J2" s="3740"/>
      <c r="K2" s="3740"/>
      <c r="L2" s="3740"/>
      <c r="M2" s="3740"/>
      <c r="N2" s="3740"/>
      <c r="O2" s="3740"/>
      <c r="P2" s="3740"/>
      <c r="Q2" s="3740"/>
      <c r="R2" s="37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2805</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2807</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2866</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2" t="s">
        <v>3382</v>
      </c>
      <c r="G14" s="3743"/>
      <c r="H14" s="3743"/>
      <c r="I14" s="3743"/>
      <c r="J14" s="3744"/>
      <c r="K14" s="290"/>
      <c r="L14" s="597" t="s">
        <v>3605</v>
      </c>
      <c r="M14" s="290"/>
      <c r="N14" s="3742" t="s">
        <v>3382</v>
      </c>
      <c r="O14" s="3743"/>
      <c r="P14" s="3743"/>
      <c r="Q14" s="3743"/>
      <c r="R14" s="3744"/>
      <c r="S14" s="301"/>
      <c r="T14" s="175"/>
      <c r="U14" s="175"/>
      <c r="V14" s="1056"/>
      <c r="W14" s="1056"/>
      <c r="X14" s="1056"/>
      <c r="AA14" s="536"/>
      <c r="AB14" s="536"/>
    </row>
    <row r="15" spans="1:28" s="280" customFormat="1" ht="11.45" customHeight="1">
      <c r="A15" s="177"/>
      <c r="D15" s="598" t="s">
        <v>2631</v>
      </c>
      <c r="E15" s="598" t="s">
        <v>1308</v>
      </c>
      <c r="F15" s="599">
        <v>0</v>
      </c>
      <c r="G15" s="600">
        <v>1</v>
      </c>
      <c r="H15" s="1608">
        <v>2</v>
      </c>
      <c r="I15" s="1608">
        <v>3</v>
      </c>
      <c r="J15" s="601" t="s">
        <v>3379</v>
      </c>
      <c r="L15" s="598" t="s">
        <v>2631</v>
      </c>
      <c r="M15" s="598" t="s">
        <v>1308</v>
      </c>
      <c r="N15" s="599">
        <v>0</v>
      </c>
      <c r="O15" s="600">
        <v>1</v>
      </c>
      <c r="P15" s="1608">
        <v>2</v>
      </c>
      <c r="Q15" s="1608">
        <v>3</v>
      </c>
      <c r="R15" s="601" t="s">
        <v>3379</v>
      </c>
      <c r="S15" s="301"/>
      <c r="T15" s="175"/>
      <c r="U15" s="175"/>
      <c r="V15" s="1056"/>
      <c r="W15" s="1056"/>
      <c r="X15" s="1056"/>
      <c r="AA15" s="536"/>
      <c r="AB15" s="536"/>
    </row>
    <row r="16" spans="1:28" s="280" customFormat="1" ht="11.45" customHeight="1">
      <c r="A16" s="177"/>
      <c r="C16" s="324"/>
      <c r="D16" s="1077" t="s">
        <v>1795</v>
      </c>
      <c r="E16" s="1077" t="s">
        <v>3381</v>
      </c>
      <c r="F16" s="1078">
        <v>129802</v>
      </c>
      <c r="G16" s="1078">
        <v>169579</v>
      </c>
      <c r="H16" s="1078">
        <v>205492</v>
      </c>
      <c r="I16" s="1078">
        <v>250678</v>
      </c>
      <c r="J16" s="1078">
        <v>294766</v>
      </c>
      <c r="L16" s="301" t="s">
        <v>1795</v>
      </c>
      <c r="M16" s="301" t="s">
        <v>3381</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3378</v>
      </c>
      <c r="F17" s="1078">
        <v>105598</v>
      </c>
      <c r="G17" s="1078">
        <v>147837</v>
      </c>
      <c r="H17" s="1078">
        <v>190077</v>
      </c>
      <c r="I17" s="1078">
        <v>253436</v>
      </c>
      <c r="J17" s="1078">
        <v>316794</v>
      </c>
      <c r="L17" s="301" t="s">
        <v>1795</v>
      </c>
      <c r="M17" s="301" t="s">
        <v>3378</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3376</v>
      </c>
      <c r="F18" s="1078">
        <v>119585</v>
      </c>
      <c r="G18" s="1078">
        <v>156306</v>
      </c>
      <c r="H18" s="1078">
        <v>189734</v>
      </c>
      <c r="I18" s="1078">
        <v>232306</v>
      </c>
      <c r="J18" s="1078">
        <v>275312</v>
      </c>
      <c r="L18" s="301" t="s">
        <v>1795</v>
      </c>
      <c r="M18" s="301" t="s">
        <v>3376</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3377</v>
      </c>
      <c r="F19" s="1078">
        <v>104164</v>
      </c>
      <c r="G19" s="1078">
        <v>144030</v>
      </c>
      <c r="H19" s="1078">
        <v>182870</v>
      </c>
      <c r="I19" s="1078">
        <v>239197</v>
      </c>
      <c r="J19" s="1078">
        <v>298135</v>
      </c>
      <c r="L19" s="301" t="s">
        <v>1795</v>
      </c>
      <c r="M19" s="301" t="s">
        <v>3377</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3381</v>
      </c>
      <c r="F20" s="1069">
        <v>128651</v>
      </c>
      <c r="G20" s="1069">
        <v>168262</v>
      </c>
      <c r="H20" s="1069">
        <v>204067</v>
      </c>
      <c r="I20" s="1069">
        <v>249250</v>
      </c>
      <c r="J20" s="1069">
        <v>293196</v>
      </c>
      <c r="L20" s="301" t="s">
        <v>167</v>
      </c>
      <c r="M20" s="301" t="s">
        <v>3381</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3378</v>
      </c>
      <c r="F21" s="1069">
        <v>104877</v>
      </c>
      <c r="G21" s="1069">
        <v>146828</v>
      </c>
      <c r="H21" s="1069">
        <v>188779</v>
      </c>
      <c r="I21" s="1069">
        <v>251705</v>
      </c>
      <c r="J21" s="1069">
        <v>314631</v>
      </c>
      <c r="L21" s="301" t="s">
        <v>167</v>
      </c>
      <c r="M21" s="301" t="s">
        <v>3378</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3376</v>
      </c>
      <c r="F22" s="1069">
        <v>118188</v>
      </c>
      <c r="G22" s="1069">
        <v>154670</v>
      </c>
      <c r="H22" s="1069">
        <v>187930</v>
      </c>
      <c r="I22" s="1069">
        <v>230437</v>
      </c>
      <c r="J22" s="1069">
        <v>273273</v>
      </c>
      <c r="L22" s="301" t="s">
        <v>167</v>
      </c>
      <c r="M22" s="301" t="s">
        <v>3376</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3377</v>
      </c>
      <c r="F23" s="1069">
        <v>102579</v>
      </c>
      <c r="G23" s="1069">
        <v>141768</v>
      </c>
      <c r="H23" s="1069">
        <v>179905</v>
      </c>
      <c r="I23" s="1069">
        <v>235133</v>
      </c>
      <c r="J23" s="1069">
        <v>293035</v>
      </c>
      <c r="L23" s="301" t="s">
        <v>167</v>
      </c>
      <c r="M23" s="301" t="s">
        <v>3377</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3381</v>
      </c>
      <c r="F24" s="1067">
        <v>140378</v>
      </c>
      <c r="G24" s="1067">
        <v>183548</v>
      </c>
      <c r="H24" s="1067">
        <v>222560</v>
      </c>
      <c r="I24" s="1067">
        <v>271753</v>
      </c>
      <c r="J24" s="1067">
        <v>319636</v>
      </c>
      <c r="L24" s="596" t="s">
        <v>1217</v>
      </c>
      <c r="M24" s="596" t="s">
        <v>3381</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3378</v>
      </c>
      <c r="F25" s="1067">
        <v>114378</v>
      </c>
      <c r="G25" s="1067">
        <v>160129</v>
      </c>
      <c r="H25" s="1067">
        <v>205881</v>
      </c>
      <c r="I25" s="1067">
        <v>274508</v>
      </c>
      <c r="J25" s="1067">
        <v>343134</v>
      </c>
      <c r="L25" s="596" t="s">
        <v>1217</v>
      </c>
      <c r="M25" s="596" t="s">
        <v>3378</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3376</v>
      </c>
      <c r="F26" s="1067">
        <v>129053</v>
      </c>
      <c r="G26" s="1067">
        <v>168837</v>
      </c>
      <c r="H26" s="1067">
        <v>205093</v>
      </c>
      <c r="I26" s="1067">
        <v>251390</v>
      </c>
      <c r="J26" s="1067">
        <v>298072</v>
      </c>
      <c r="L26" s="596" t="s">
        <v>1217</v>
      </c>
      <c r="M26" s="596" t="s">
        <v>3376</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3377</v>
      </c>
      <c r="F27" s="1067">
        <v>112110</v>
      </c>
      <c r="G27" s="1067">
        <v>154960</v>
      </c>
      <c r="H27" s="1067">
        <v>196671</v>
      </c>
      <c r="I27" s="1067">
        <v>257098</v>
      </c>
      <c r="J27" s="1067">
        <v>320417</v>
      </c>
      <c r="L27" s="596" t="s">
        <v>1217</v>
      </c>
      <c r="M27" s="596" t="s">
        <v>3377</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3381</v>
      </c>
      <c r="F28" s="1071">
        <v>132505</v>
      </c>
      <c r="G28" s="1071">
        <v>172926</v>
      </c>
      <c r="H28" s="1071">
        <v>209377</v>
      </c>
      <c r="I28" s="1071">
        <v>255107</v>
      </c>
      <c r="J28" s="1071">
        <v>299867</v>
      </c>
      <c r="L28" s="596" t="s">
        <v>1342</v>
      </c>
      <c r="M28" s="596" t="s">
        <v>3381</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3378</v>
      </c>
      <c r="F29" s="1071">
        <v>107584</v>
      </c>
      <c r="G29" s="1071">
        <v>150617</v>
      </c>
      <c r="H29" s="1071">
        <v>193650</v>
      </c>
      <c r="I29" s="1071">
        <v>258201</v>
      </c>
      <c r="J29" s="1071">
        <v>322751</v>
      </c>
      <c r="L29" s="596" t="s">
        <v>1342</v>
      </c>
      <c r="M29" s="596" t="s">
        <v>3378</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3376</v>
      </c>
      <c r="F30" s="1071">
        <v>122412</v>
      </c>
      <c r="G30" s="1071">
        <v>159813</v>
      </c>
      <c r="H30" s="1071">
        <v>193809</v>
      </c>
      <c r="I30" s="1071">
        <v>236957</v>
      </c>
      <c r="J30" s="1071">
        <v>280648</v>
      </c>
      <c r="L30" s="596" t="s">
        <v>1342</v>
      </c>
      <c r="M30" s="596" t="s">
        <v>3376</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3377</v>
      </c>
      <c r="F31" s="1071">
        <v>106994</v>
      </c>
      <c r="G31" s="1071">
        <v>148014</v>
      </c>
      <c r="H31" s="1071">
        <v>188019</v>
      </c>
      <c r="I31" s="1071">
        <v>246119</v>
      </c>
      <c r="J31" s="1071">
        <v>306798</v>
      </c>
      <c r="L31" s="596" t="s">
        <v>1342</v>
      </c>
      <c r="M31" s="596" t="s">
        <v>3377</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3381</v>
      </c>
      <c r="F32" s="906">
        <v>135971</v>
      </c>
      <c r="G32" s="906">
        <v>178050</v>
      </c>
      <c r="H32" s="906">
        <v>216136</v>
      </c>
      <c r="I32" s="906">
        <v>264350</v>
      </c>
      <c r="J32" s="906">
        <v>311082</v>
      </c>
      <c r="L32" s="1099" t="s">
        <v>1533</v>
      </c>
      <c r="M32" s="596" t="s">
        <v>3381</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3378</v>
      </c>
      <c r="F33" s="906">
        <v>111093</v>
      </c>
      <c r="G33" s="906">
        <v>155530</v>
      </c>
      <c r="H33" s="906">
        <v>199967</v>
      </c>
      <c r="I33" s="906">
        <v>266623</v>
      </c>
      <c r="J33" s="906">
        <v>333278</v>
      </c>
      <c r="L33" s="1099" t="s">
        <v>1533</v>
      </c>
      <c r="M33" s="596" t="s">
        <v>3378</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3376</v>
      </c>
      <c r="F34" s="906">
        <v>124524</v>
      </c>
      <c r="G34" s="906">
        <v>163179</v>
      </c>
      <c r="H34" s="906">
        <v>198480</v>
      </c>
      <c r="I34" s="906">
        <v>243766</v>
      </c>
      <c r="J34" s="906">
        <v>289284</v>
      </c>
      <c r="L34" s="1099" t="s">
        <v>1533</v>
      </c>
      <c r="M34" s="596" t="s">
        <v>3376</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3377</v>
      </c>
      <c r="F35" s="906">
        <v>107650</v>
      </c>
      <c r="G35" s="906">
        <v>148694</v>
      </c>
      <c r="H35" s="906">
        <v>188587</v>
      </c>
      <c r="I35" s="906">
        <v>246263</v>
      </c>
      <c r="J35" s="906">
        <v>306864</v>
      </c>
      <c r="L35" s="1099" t="s">
        <v>1533</v>
      </c>
      <c r="M35" s="596" t="s">
        <v>3377</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3381</v>
      </c>
      <c r="F36" s="1073">
        <v>130802</v>
      </c>
      <c r="G36" s="1073">
        <v>170775</v>
      </c>
      <c r="H36" s="1073">
        <v>206839</v>
      </c>
      <c r="I36" s="1073">
        <v>252134</v>
      </c>
      <c r="J36" s="1073">
        <v>296415</v>
      </c>
      <c r="L36" s="301" t="s">
        <v>162</v>
      </c>
      <c r="M36" s="301" t="s">
        <v>3381</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3378</v>
      </c>
      <c r="F37" s="1073">
        <v>106284</v>
      </c>
      <c r="G37" s="1073">
        <v>148797</v>
      </c>
      <c r="H37" s="1073">
        <v>191311</v>
      </c>
      <c r="I37" s="1073">
        <v>255081</v>
      </c>
      <c r="J37" s="1073">
        <v>318851</v>
      </c>
      <c r="L37" s="301" t="s">
        <v>162</v>
      </c>
      <c r="M37" s="301" t="s">
        <v>3378</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3376</v>
      </c>
      <c r="F38" s="1073">
        <v>120709</v>
      </c>
      <c r="G38" s="1073">
        <v>157663</v>
      </c>
      <c r="H38" s="1073">
        <v>191271</v>
      </c>
      <c r="I38" s="1073">
        <v>233985</v>
      </c>
      <c r="J38" s="1073">
        <v>277195</v>
      </c>
      <c r="L38" s="301" t="s">
        <v>162</v>
      </c>
      <c r="M38" s="301" t="s">
        <v>3376</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3377</v>
      </c>
      <c r="F39" s="1073">
        <v>105363</v>
      </c>
      <c r="G39" s="1073">
        <v>145732</v>
      </c>
      <c r="H39" s="1073">
        <v>185085</v>
      </c>
      <c r="I39" s="1073">
        <v>242207</v>
      </c>
      <c r="J39" s="1073">
        <v>301908</v>
      </c>
      <c r="L39" s="301" t="s">
        <v>162</v>
      </c>
      <c r="M39" s="301" t="s">
        <v>3377</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3381</v>
      </c>
      <c r="F40" s="1075">
        <v>127800</v>
      </c>
      <c r="G40" s="1075">
        <v>167186</v>
      </c>
      <c r="H40" s="1075">
        <v>202798</v>
      </c>
      <c r="I40" s="1075">
        <v>247764</v>
      </c>
      <c r="J40" s="1075">
        <v>291469</v>
      </c>
      <c r="L40" s="596" t="s">
        <v>1332</v>
      </c>
      <c r="M40" s="596" t="s">
        <v>3381</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3378</v>
      </c>
      <c r="F41" s="1075">
        <v>104227</v>
      </c>
      <c r="G41" s="1075">
        <v>145918</v>
      </c>
      <c r="H41" s="1075">
        <v>187609</v>
      </c>
      <c r="I41" s="1075">
        <v>250145</v>
      </c>
      <c r="J41" s="1075">
        <v>312681</v>
      </c>
      <c r="L41" s="596" t="s">
        <v>1332</v>
      </c>
      <c r="M41" s="596" t="s">
        <v>3378</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3376</v>
      </c>
      <c r="F42" s="1075">
        <v>117337</v>
      </c>
      <c r="G42" s="1075">
        <v>153594</v>
      </c>
      <c r="H42" s="1075">
        <v>186661</v>
      </c>
      <c r="I42" s="1075">
        <v>228950</v>
      </c>
      <c r="J42" s="1075">
        <v>271546</v>
      </c>
      <c r="L42" s="596" t="s">
        <v>1332</v>
      </c>
      <c r="M42" s="596" t="s">
        <v>3376</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3377</v>
      </c>
      <c r="F43" s="1075">
        <v>101764</v>
      </c>
      <c r="G43" s="1075">
        <v>140627</v>
      </c>
      <c r="H43" s="1075">
        <v>178438</v>
      </c>
      <c r="I43" s="1075">
        <v>233177</v>
      </c>
      <c r="J43" s="1075">
        <v>290589</v>
      </c>
      <c r="L43" s="596" t="s">
        <v>1332</v>
      </c>
      <c r="M43" s="596" t="s">
        <v>3377</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3381</v>
      </c>
      <c r="F44" s="1067">
        <v>135165</v>
      </c>
      <c r="G44" s="1067">
        <v>176624</v>
      </c>
      <c r="H44" s="1067">
        <v>214065</v>
      </c>
      <c r="I44" s="1067">
        <v>261200</v>
      </c>
      <c r="J44" s="1067">
        <v>307162</v>
      </c>
      <c r="L44" s="596" t="s">
        <v>1338</v>
      </c>
      <c r="M44" s="596" t="s">
        <v>3381</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3378</v>
      </c>
      <c r="F45" s="1067">
        <v>110006</v>
      </c>
      <c r="G45" s="1067">
        <v>154008</v>
      </c>
      <c r="H45" s="1067">
        <v>198011</v>
      </c>
      <c r="I45" s="1067">
        <v>264014</v>
      </c>
      <c r="J45" s="1067">
        <v>330018</v>
      </c>
      <c r="L45" s="596" t="s">
        <v>1338</v>
      </c>
      <c r="M45" s="596" t="s">
        <v>3378</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3376</v>
      </c>
      <c r="F46" s="1067">
        <v>124455</v>
      </c>
      <c r="G46" s="1067">
        <v>162712</v>
      </c>
      <c r="H46" s="1067">
        <v>197548</v>
      </c>
      <c r="I46" s="1067">
        <v>241944</v>
      </c>
      <c r="J46" s="1067">
        <v>286771</v>
      </c>
      <c r="L46" s="596" t="s">
        <v>1338</v>
      </c>
      <c r="M46" s="596" t="s">
        <v>3376</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3377</v>
      </c>
      <c r="F47" s="1067">
        <v>108329</v>
      </c>
      <c r="G47" s="1067">
        <v>149776</v>
      </c>
      <c r="H47" s="1067">
        <v>190145</v>
      </c>
      <c r="I47" s="1067">
        <v>248674</v>
      </c>
      <c r="J47" s="1067">
        <v>309940</v>
      </c>
      <c r="L47" s="596" t="s">
        <v>1338</v>
      </c>
      <c r="M47" s="596" t="s">
        <v>3377</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3381</v>
      </c>
      <c r="F48" s="1071">
        <v>122990</v>
      </c>
      <c r="G48" s="1071">
        <v>160975</v>
      </c>
      <c r="H48" s="1071">
        <v>195338</v>
      </c>
      <c r="I48" s="1071">
        <v>238786</v>
      </c>
      <c r="J48" s="1071">
        <v>280955</v>
      </c>
      <c r="L48" s="596" t="s">
        <v>1709</v>
      </c>
      <c r="M48" s="596" t="s">
        <v>3381</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3378</v>
      </c>
      <c r="F49" s="1071">
        <v>100398</v>
      </c>
      <c r="G49" s="1071">
        <v>140558</v>
      </c>
      <c r="H49" s="1071">
        <v>180717</v>
      </c>
      <c r="I49" s="1071">
        <v>240956</v>
      </c>
      <c r="J49" s="1071">
        <v>301195</v>
      </c>
      <c r="L49" s="596" t="s">
        <v>1709</v>
      </c>
      <c r="M49" s="596" t="s">
        <v>3378</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3376</v>
      </c>
      <c r="F50" s="1071">
        <v>112773</v>
      </c>
      <c r="G50" s="1071">
        <v>147703</v>
      </c>
      <c r="H50" s="1071">
        <v>179581</v>
      </c>
      <c r="I50" s="1071">
        <v>220415</v>
      </c>
      <c r="J50" s="1071">
        <v>261501</v>
      </c>
      <c r="L50" s="596" t="s">
        <v>1709</v>
      </c>
      <c r="M50" s="596" t="s">
        <v>3376</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3377</v>
      </c>
      <c r="F51" s="1071">
        <v>97643</v>
      </c>
      <c r="G51" s="1071">
        <v>134902</v>
      </c>
      <c r="H51" s="1071">
        <v>171133</v>
      </c>
      <c r="I51" s="1071">
        <v>223548</v>
      </c>
      <c r="J51" s="1071">
        <v>278574</v>
      </c>
      <c r="L51" s="596" t="s">
        <v>1709</v>
      </c>
      <c r="M51" s="596" t="s">
        <v>3377</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3981</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3454</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3896</v>
      </c>
      <c r="K71" s="177"/>
      <c r="L71" s="177"/>
      <c r="M71" s="177"/>
      <c r="N71" s="177"/>
      <c r="O71" s="177"/>
      <c r="P71" s="175"/>
      <c r="Q71" s="1611">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3982</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3982</v>
      </c>
      <c r="K73" s="177"/>
      <c r="L73" s="177"/>
      <c r="M73" s="177"/>
      <c r="N73" s="177"/>
      <c r="O73" s="177"/>
      <c r="P73" s="175"/>
      <c r="Q73" s="1610" t="s">
        <v>979</v>
      </c>
      <c r="R73" s="1610">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3983</v>
      </c>
      <c r="K74" s="177"/>
      <c r="L74" s="177"/>
      <c r="M74" s="177"/>
      <c r="N74" s="177"/>
      <c r="O74" s="177"/>
      <c r="P74" s="175"/>
      <c r="Q74" s="291" t="s">
        <v>1746</v>
      </c>
      <c r="R74" s="1610">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3983</v>
      </c>
      <c r="K75" s="177"/>
      <c r="L75" s="177"/>
      <c r="M75" s="177"/>
      <c r="N75" s="177"/>
      <c r="O75" s="177"/>
      <c r="P75" s="175"/>
      <c r="Q75" s="291" t="s">
        <v>1746</v>
      </c>
      <c r="R75" s="1610">
        <v>0.02</v>
      </c>
      <c r="S75" s="292"/>
      <c r="T75" s="292"/>
      <c r="U75" s="292"/>
      <c r="AA75" s="536"/>
      <c r="AB75" s="536"/>
    </row>
    <row r="76" spans="1:28" s="280" customFormat="1" ht="11.45" customHeight="1">
      <c r="A76" s="177"/>
      <c r="B76" s="177" t="s">
        <v>2837</v>
      </c>
      <c r="C76" s="177"/>
      <c r="D76" s="175"/>
      <c r="E76" s="175"/>
      <c r="F76" s="177" t="s">
        <v>1746</v>
      </c>
      <c r="G76" s="177"/>
      <c r="H76" s="175"/>
      <c r="I76" s="175"/>
      <c r="J76" s="177" t="s">
        <v>3983</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3504</v>
      </c>
      <c r="G78" s="177"/>
      <c r="H78" s="175"/>
      <c r="I78" s="175"/>
      <c r="J78" s="177" t="s">
        <v>1212</v>
      </c>
      <c r="K78" s="177"/>
      <c r="L78" s="177"/>
      <c r="M78" s="177"/>
      <c r="N78" s="177"/>
      <c r="O78" s="177"/>
      <c r="P78" s="175"/>
      <c r="Q78" s="3731">
        <v>1000</v>
      </c>
      <c r="R78" s="37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1">
        <v>500</v>
      </c>
      <c r="R79" s="3732"/>
      <c r="S79" s="292"/>
      <c r="T79" s="292"/>
      <c r="U79" s="292"/>
      <c r="AA79" s="536"/>
      <c r="AB79" s="536"/>
    </row>
    <row r="80" spans="1:28" s="280" customFormat="1" ht="11.45" customHeight="1">
      <c r="A80" s="177"/>
      <c r="B80" s="177"/>
      <c r="C80" s="177"/>
      <c r="D80" s="177"/>
      <c r="E80" s="175"/>
      <c r="F80" s="179" t="s">
        <v>3991</v>
      </c>
      <c r="G80" s="177"/>
      <c r="H80" s="175"/>
      <c r="I80" s="175"/>
      <c r="J80" s="179" t="s">
        <v>3987</v>
      </c>
      <c r="K80" s="177"/>
      <c r="L80" s="177"/>
      <c r="M80" s="177"/>
      <c r="N80" s="177"/>
      <c r="O80" s="177"/>
      <c r="P80" s="175"/>
      <c r="Q80" s="3731">
        <v>1500</v>
      </c>
      <c r="R80" s="3732"/>
      <c r="S80" s="292"/>
      <c r="T80" s="292"/>
      <c r="U80" s="292"/>
      <c r="AA80" s="536"/>
      <c r="AB80" s="536"/>
    </row>
    <row r="81" spans="1:28" s="280" customFormat="1" ht="11.45" customHeight="1">
      <c r="A81" s="177"/>
      <c r="B81" s="177"/>
      <c r="C81" s="177"/>
      <c r="D81" s="177"/>
      <c r="E81" s="175"/>
      <c r="G81" s="177"/>
      <c r="H81" s="175"/>
      <c r="I81" s="175"/>
      <c r="J81" s="179" t="s">
        <v>3988</v>
      </c>
      <c r="K81" s="177"/>
      <c r="L81" s="177"/>
      <c r="M81" s="177"/>
      <c r="N81" s="177"/>
      <c r="O81" s="177"/>
      <c r="P81" s="175"/>
      <c r="Q81" s="3731">
        <v>1500</v>
      </c>
      <c r="R81" s="3732"/>
      <c r="S81" s="292"/>
      <c r="T81" s="292"/>
      <c r="U81" s="292"/>
      <c r="AA81" s="536"/>
      <c r="AB81" s="536"/>
    </row>
    <row r="82" spans="1:28" s="280" customFormat="1" ht="11.45" customHeight="1">
      <c r="A82" s="177"/>
      <c r="B82" s="177"/>
      <c r="C82" s="177"/>
      <c r="D82" s="177"/>
      <c r="E82" s="175"/>
      <c r="G82" s="177"/>
      <c r="H82" s="175"/>
      <c r="I82" s="175"/>
      <c r="J82" s="179" t="s">
        <v>3989</v>
      </c>
      <c r="K82" s="177"/>
      <c r="L82" s="177"/>
      <c r="M82" s="177"/>
      <c r="N82" s="177"/>
      <c r="O82" s="177"/>
      <c r="P82" s="175"/>
      <c r="Q82" s="3731">
        <v>1500</v>
      </c>
      <c r="R82" s="3732"/>
      <c r="S82" s="292"/>
      <c r="T82" s="292"/>
      <c r="U82" s="292"/>
      <c r="AA82" s="536"/>
      <c r="AB82" s="536"/>
    </row>
    <row r="83" spans="1:28" s="280" customFormat="1" ht="11.45" customHeight="1">
      <c r="A83" s="177"/>
      <c r="B83" s="177"/>
      <c r="C83" s="177"/>
      <c r="D83" s="177"/>
      <c r="E83" s="175"/>
      <c r="G83" s="177"/>
      <c r="H83" s="175"/>
      <c r="I83" s="175"/>
      <c r="J83" s="179" t="s">
        <v>3990</v>
      </c>
      <c r="K83" s="177"/>
      <c r="L83" s="177"/>
      <c r="M83" s="177"/>
      <c r="N83" s="177"/>
      <c r="O83" s="177"/>
      <c r="P83" s="175"/>
      <c r="Q83" s="3731">
        <v>1500</v>
      </c>
      <c r="R83" s="37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1">
        <v>6500</v>
      </c>
      <c r="R84" s="37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1">
        <v>5500</v>
      </c>
      <c r="R85" s="3732"/>
      <c r="S85" s="292"/>
      <c r="T85" s="292"/>
      <c r="U85" s="292"/>
      <c r="AA85" s="536"/>
      <c r="AB85" s="536"/>
    </row>
    <row r="86" spans="1:28" s="280" customFormat="1" ht="11.45" customHeight="1">
      <c r="A86" s="177"/>
      <c r="B86" s="177"/>
      <c r="C86" s="177"/>
      <c r="D86" s="177"/>
      <c r="E86" s="175"/>
      <c r="F86" s="179" t="s">
        <v>3462</v>
      </c>
      <c r="G86" s="177"/>
      <c r="H86" s="175"/>
      <c r="I86" s="175"/>
      <c r="J86" s="177"/>
      <c r="K86" s="177"/>
      <c r="L86" s="177"/>
      <c r="M86" s="177"/>
      <c r="N86" s="177"/>
      <c r="O86" s="177"/>
      <c r="P86" s="175"/>
      <c r="Q86" s="3731">
        <v>5000</v>
      </c>
      <c r="R86" s="3732"/>
      <c r="S86" s="292"/>
      <c r="T86" s="292"/>
      <c r="U86" s="292"/>
      <c r="AA86" s="536"/>
      <c r="AB86" s="536"/>
    </row>
    <row r="87" spans="1:28" s="280" customFormat="1" ht="11.45" customHeight="1">
      <c r="A87" s="177"/>
      <c r="B87" s="177"/>
      <c r="C87" s="177"/>
      <c r="D87" s="177"/>
      <c r="E87" s="175"/>
      <c r="F87" s="179" t="s">
        <v>3985</v>
      </c>
      <c r="G87" s="177"/>
      <c r="H87" s="175"/>
      <c r="I87" s="175"/>
      <c r="J87" s="177"/>
      <c r="K87" s="177"/>
      <c r="L87" s="177"/>
      <c r="M87" s="177"/>
      <c r="N87" s="177"/>
      <c r="O87" s="177"/>
      <c r="P87" s="175"/>
      <c r="Q87" s="3731">
        <v>1500</v>
      </c>
      <c r="R87" s="37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0">
        <v>0.08</v>
      </c>
      <c r="R88" s="37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0">
        <v>0.08</v>
      </c>
      <c r="R89" s="3730"/>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3731">
        <v>3000</v>
      </c>
      <c r="R90" s="3732"/>
      <c r="S90" s="292"/>
      <c r="T90" s="292"/>
      <c r="U90" s="292"/>
      <c r="AA90" s="536"/>
      <c r="AB90" s="536"/>
    </row>
    <row r="91" spans="1:28" s="280" customFormat="1" ht="11.45" customHeight="1">
      <c r="A91" s="177"/>
      <c r="C91" s="177"/>
      <c r="D91" s="175"/>
      <c r="E91" s="175"/>
      <c r="F91" s="179" t="s">
        <v>3895</v>
      </c>
      <c r="H91" s="177"/>
      <c r="I91" s="175"/>
      <c r="J91" s="177"/>
      <c r="K91" s="177"/>
      <c r="L91" s="177"/>
      <c r="M91" s="177"/>
      <c r="N91" s="177"/>
      <c r="O91" s="177"/>
      <c r="P91" s="175"/>
      <c r="Q91" s="3731">
        <v>1500</v>
      </c>
      <c r="R91" s="37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3915</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2842</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3463</v>
      </c>
      <c r="I96" s="175"/>
      <c r="J96" s="177" t="s">
        <v>3464</v>
      </c>
      <c r="K96" s="177"/>
      <c r="L96" s="177" t="s">
        <v>2841</v>
      </c>
      <c r="M96" s="177"/>
      <c r="N96" s="177"/>
      <c r="O96" s="177"/>
      <c r="P96" s="175"/>
      <c r="Q96" s="3731">
        <v>75</v>
      </c>
      <c r="R96" s="3732"/>
      <c r="S96" s="292"/>
      <c r="T96" s="292"/>
      <c r="U96" s="292"/>
      <c r="AA96" s="536"/>
      <c r="AB96" s="536"/>
    </row>
    <row r="97" spans="1:28" s="280" customFormat="1" ht="13.5">
      <c r="A97" s="177"/>
      <c r="B97" s="177" t="s">
        <v>1877</v>
      </c>
      <c r="C97" s="177"/>
      <c r="D97" s="1212" t="s">
        <v>3984</v>
      </c>
      <c r="E97" s="175"/>
      <c r="F97" s="177"/>
      <c r="G97" s="177"/>
      <c r="H97" s="177"/>
      <c r="I97" s="175"/>
      <c r="J97" s="177" t="s">
        <v>1743</v>
      </c>
      <c r="K97" s="177"/>
      <c r="L97" s="177"/>
      <c r="M97" s="177"/>
      <c r="N97" s="177"/>
      <c r="O97" s="177"/>
      <c r="P97" s="175"/>
      <c r="Q97" s="3736">
        <v>1800000</v>
      </c>
      <c r="R97" s="3737"/>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3736">
        <v>3500000</v>
      </c>
      <c r="R98" s="3737"/>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34">
        <v>0.15</v>
      </c>
      <c r="R99" s="3735"/>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3734">
        <v>0.15</v>
      </c>
      <c r="R100" s="37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34">
        <v>0.15</v>
      </c>
      <c r="R101" s="37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34">
        <v>0.15</v>
      </c>
      <c r="R102" s="37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34">
        <v>0.15</v>
      </c>
      <c r="R103" s="3735"/>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3734">
        <v>0.15</v>
      </c>
      <c r="R104" s="3735"/>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3734" t="s">
        <v>2390</v>
      </c>
      <c r="R105" s="3735"/>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3505</v>
      </c>
      <c r="C111" s="177"/>
      <c r="D111" s="175"/>
      <c r="E111" s="177"/>
      <c r="F111" s="177"/>
      <c r="G111" s="177"/>
      <c r="H111" s="175"/>
      <c r="I111" s="175"/>
      <c r="J111" s="177" t="s">
        <v>1776</v>
      </c>
      <c r="K111" s="177"/>
      <c r="L111" s="177"/>
      <c r="M111" s="177"/>
      <c r="N111" s="177"/>
      <c r="O111" s="177"/>
      <c r="P111" s="175"/>
      <c r="Q111" s="3731">
        <v>3000</v>
      </c>
      <c r="R111" s="37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0">
        <v>0.02</v>
      </c>
      <c r="R119" s="37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0">
        <v>7.0000000000000007E-2</v>
      </c>
      <c r="R120" s="37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0">
        <v>7.0000000000000007E-2</v>
      </c>
      <c r="R121" s="37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0">
        <v>0.03</v>
      </c>
      <c r="R122" s="37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0">
        <v>0.03</v>
      </c>
      <c r="R123" s="37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0">
        <v>0</v>
      </c>
      <c r="R124" s="37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30">
        <v>0.1</v>
      </c>
      <c r="R126" s="37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3931</v>
      </c>
      <c r="I127" s="175"/>
      <c r="J127" s="177" t="s">
        <v>3932</v>
      </c>
      <c r="K127" s="177"/>
      <c r="L127" s="177"/>
      <c r="M127" s="177"/>
      <c r="N127" s="177"/>
      <c r="O127" s="177"/>
      <c r="P127" s="175"/>
      <c r="Q127" s="3733">
        <v>1000000</v>
      </c>
      <c r="R127" s="37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3925</v>
      </c>
      <c r="I128" s="175"/>
      <c r="J128" s="177" t="s">
        <v>3933</v>
      </c>
      <c r="K128" s="177"/>
      <c r="L128" s="177"/>
      <c r="M128" s="177"/>
      <c r="N128" s="177"/>
      <c r="O128" s="177"/>
      <c r="P128" s="175"/>
      <c r="Q128" s="3733">
        <v>1500000</v>
      </c>
      <c r="R128" s="37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3934</v>
      </c>
      <c r="K129" s="177"/>
      <c r="L129" s="177"/>
      <c r="M129" s="177"/>
      <c r="N129" s="177"/>
      <c r="O129" s="177"/>
      <c r="P129" s="175"/>
      <c r="Q129" s="3733">
        <v>375000</v>
      </c>
      <c r="R129" s="3733"/>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3980</v>
      </c>
      <c r="K130" s="177"/>
      <c r="L130" s="177"/>
      <c r="M130" s="177"/>
      <c r="N130" s="177"/>
      <c r="O130" s="177"/>
      <c r="P130" s="175"/>
      <c r="Q130" s="3733">
        <v>4000000</v>
      </c>
      <c r="R130" s="37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2838</v>
      </c>
      <c r="F133" s="177" t="s">
        <v>2617</v>
      </c>
      <c r="G133" s="177"/>
      <c r="H133" s="175"/>
      <c r="I133" s="175"/>
      <c r="J133" s="177" t="s">
        <v>2698</v>
      </c>
      <c r="K133" s="177"/>
      <c r="L133" s="177"/>
      <c r="M133" s="177"/>
      <c r="N133" s="177"/>
      <c r="O133" s="177"/>
      <c r="P133" s="175"/>
      <c r="Q133" s="3730">
        <v>0.35</v>
      </c>
      <c r="R133" s="3730"/>
    </row>
    <row r="134" spans="1:28" s="280" customFormat="1" ht="12.75" customHeight="1">
      <c r="A134" s="285"/>
      <c r="B134" s="177"/>
      <c r="C134" s="177"/>
      <c r="D134" s="175"/>
      <c r="E134" s="175"/>
      <c r="F134" s="177" t="s">
        <v>2839</v>
      </c>
      <c r="G134" s="177"/>
      <c r="H134" s="175"/>
      <c r="I134" s="175"/>
      <c r="J134" s="177" t="s">
        <v>2698</v>
      </c>
      <c r="K134" s="177"/>
      <c r="L134" s="177"/>
      <c r="M134" s="177"/>
      <c r="N134" s="177"/>
      <c r="O134" s="177"/>
      <c r="P134" s="175"/>
      <c r="Q134" s="3730" t="s">
        <v>2840</v>
      </c>
      <c r="R134" s="37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3730">
        <v>0.05</v>
      </c>
      <c r="R136" s="3730"/>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3730">
        <v>0.4</v>
      </c>
      <c r="R137" s="3730"/>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3730">
        <v>0.02</v>
      </c>
      <c r="R138" s="37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8" t="s">
        <v>4232</v>
      </c>
      <c r="E151" s="292"/>
      <c r="F151" s="292"/>
    </row>
    <row r="152" spans="2:30" ht="10.5" customHeight="1">
      <c r="C152" s="3738"/>
      <c r="E152" s="292"/>
      <c r="F152" s="292"/>
    </row>
    <row r="153" spans="2:30" ht="10.5" customHeight="1">
      <c r="C153" s="3738"/>
      <c r="D153" s="1356" t="s">
        <v>3993</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2787</v>
      </c>
      <c r="N154" s="583" t="s">
        <v>3923</v>
      </c>
      <c r="O154" s="583" t="s">
        <v>4350</v>
      </c>
      <c r="P154" s="581" t="s">
        <v>2419</v>
      </c>
      <c r="Q154" s="581"/>
      <c r="R154" s="177"/>
      <c r="S154" s="403"/>
      <c r="T154" s="584" t="s">
        <v>624</v>
      </c>
      <c r="U154" s="585" t="s">
        <v>625</v>
      </c>
      <c r="W154" s="617" t="s">
        <v>3411</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173" t="s">
        <v>2617</v>
      </c>
      <c r="N155" s="2173" t="s">
        <v>1338</v>
      </c>
      <c r="O155" s="2174" t="s">
        <v>4351</v>
      </c>
      <c r="P155" s="586" t="s">
        <v>1534</v>
      </c>
      <c r="Q155" s="301"/>
      <c r="R155" s="177"/>
      <c r="S155" s="403"/>
      <c r="T155" s="525" t="s">
        <v>2420</v>
      </c>
      <c r="U155" s="525" t="s">
        <v>1967</v>
      </c>
      <c r="W155" s="446" t="s">
        <v>2420</v>
      </c>
      <c r="X155" s="446" t="s">
        <v>3412</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173" t="s">
        <v>2617</v>
      </c>
      <c r="N156" s="2173" t="s">
        <v>1709</v>
      </c>
      <c r="O156" s="2174" t="s">
        <v>4352</v>
      </c>
      <c r="P156" s="586" t="s">
        <v>1536</v>
      </c>
      <c r="Q156" s="301"/>
      <c r="R156" s="177"/>
      <c r="S156" s="403"/>
      <c r="T156" s="525" t="s">
        <v>1535</v>
      </c>
      <c r="U156" s="525" t="s">
        <v>2503</v>
      </c>
      <c r="W156" s="446" t="s">
        <v>1535</v>
      </c>
      <c r="X156" s="446" t="s">
        <v>3412</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173" t="s">
        <v>2617</v>
      </c>
      <c r="N157" s="2173" t="s">
        <v>1709</v>
      </c>
      <c r="O157" s="2174" t="s">
        <v>4353</v>
      </c>
      <c r="P157" s="586" t="s">
        <v>466</v>
      </c>
      <c r="Q157" s="301"/>
      <c r="R157" s="177"/>
      <c r="S157" s="403"/>
      <c r="T157" s="525" t="s">
        <v>954</v>
      </c>
      <c r="U157" s="525" t="s">
        <v>1326</v>
      </c>
      <c r="W157" s="446" t="s">
        <v>954</v>
      </c>
      <c r="X157" s="446" t="s">
        <v>3412</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173" t="s">
        <v>1207</v>
      </c>
      <c r="N158" s="2173" t="s">
        <v>1795</v>
      </c>
      <c r="O158" s="2174" t="s">
        <v>4354</v>
      </c>
      <c r="P158" s="586" t="s">
        <v>2097</v>
      </c>
      <c r="Q158" s="301"/>
      <c r="R158" s="177"/>
      <c r="S158" s="403"/>
      <c r="T158" s="525" t="s">
        <v>467</v>
      </c>
      <c r="U158" s="525" t="s">
        <v>2547</v>
      </c>
      <c r="W158" s="446" t="s">
        <v>2098</v>
      </c>
      <c r="X158" s="446" t="s">
        <v>3412</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173" t="s">
        <v>2617</v>
      </c>
      <c r="N159" s="2173" t="s">
        <v>1332</v>
      </c>
      <c r="O159" s="2174" t="s">
        <v>4355</v>
      </c>
      <c r="P159" s="586" t="s">
        <v>2099</v>
      </c>
      <c r="Q159" s="301"/>
      <c r="R159" s="177"/>
      <c r="S159" s="403"/>
      <c r="T159" s="525" t="s">
        <v>2098</v>
      </c>
      <c r="U159" s="525" t="s">
        <v>334</v>
      </c>
      <c r="W159" s="446" t="s">
        <v>2102</v>
      </c>
      <c r="X159" s="446" t="s">
        <v>3412</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173" t="s">
        <v>2617</v>
      </c>
      <c r="N160" s="2173" t="s">
        <v>167</v>
      </c>
      <c r="O160" s="2174" t="s">
        <v>4356</v>
      </c>
      <c r="P160" s="586" t="s">
        <v>2101</v>
      </c>
      <c r="Q160" s="301"/>
      <c r="R160" s="177"/>
      <c r="S160" s="403"/>
      <c r="T160" s="525" t="s">
        <v>2100</v>
      </c>
      <c r="U160" s="525" t="s">
        <v>185</v>
      </c>
      <c r="W160" s="446" t="s">
        <v>1795</v>
      </c>
      <c r="X160" s="446" t="s">
        <v>3412</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173" t="s">
        <v>1207</v>
      </c>
      <c r="N161" s="2173" t="s">
        <v>1217</v>
      </c>
      <c r="O161" s="2174" t="s">
        <v>4357</v>
      </c>
      <c r="P161" s="586" t="s">
        <v>2103</v>
      </c>
      <c r="Q161" s="301"/>
      <c r="R161" s="177"/>
      <c r="S161" s="403"/>
      <c r="T161" s="525" t="s">
        <v>2102</v>
      </c>
      <c r="U161" s="525" t="s">
        <v>113</v>
      </c>
      <c r="W161" s="446" t="s">
        <v>448</v>
      </c>
      <c r="X161" s="446" t="s">
        <v>3412</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173" t="s">
        <v>1207</v>
      </c>
      <c r="N162" s="2173" t="s">
        <v>1217</v>
      </c>
      <c r="O162" s="2174" t="s">
        <v>4358</v>
      </c>
      <c r="P162" s="586" t="s">
        <v>2105</v>
      </c>
      <c r="Q162" s="301"/>
      <c r="R162" s="177"/>
      <c r="S162" s="403"/>
      <c r="T162" s="525" t="s">
        <v>2104</v>
      </c>
      <c r="U162" s="525" t="s">
        <v>1329</v>
      </c>
      <c r="W162" s="446" t="s">
        <v>450</v>
      </c>
      <c r="X162" s="446" t="s">
        <v>3412</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173" t="s">
        <v>2617</v>
      </c>
      <c r="N163" s="2173" t="s">
        <v>1795</v>
      </c>
      <c r="O163" s="2174" t="s">
        <v>4359</v>
      </c>
      <c r="P163" s="586" t="s">
        <v>1979</v>
      </c>
      <c r="Q163" s="546"/>
      <c r="R163" s="177"/>
      <c r="S163" s="403"/>
      <c r="T163" s="525" t="s">
        <v>1795</v>
      </c>
      <c r="U163" s="525" t="s">
        <v>964</v>
      </c>
      <c r="W163" s="446" t="s">
        <v>1863</v>
      </c>
      <c r="X163" s="446" t="s">
        <v>3412</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173" t="s">
        <v>2617</v>
      </c>
      <c r="N164" s="2173" t="s">
        <v>1709</v>
      </c>
      <c r="O164" s="2174" t="s">
        <v>4360</v>
      </c>
      <c r="P164" s="586" t="s">
        <v>181</v>
      </c>
      <c r="Q164" s="546"/>
      <c r="R164" s="292"/>
      <c r="S164" s="403"/>
      <c r="T164" s="525" t="s">
        <v>1980</v>
      </c>
      <c r="U164" s="525" t="s">
        <v>431</v>
      </c>
      <c r="W164" s="446" t="s">
        <v>2566</v>
      </c>
      <c r="X164" s="446" t="s">
        <v>3412</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173" t="s">
        <v>1207</v>
      </c>
      <c r="N165" s="2173" t="s">
        <v>1332</v>
      </c>
      <c r="O165" s="2174" t="s">
        <v>4361</v>
      </c>
      <c r="P165" s="586" t="s">
        <v>183</v>
      </c>
      <c r="Q165" s="546"/>
      <c r="R165" s="177"/>
      <c r="S165" s="403"/>
      <c r="T165" s="525" t="s">
        <v>182</v>
      </c>
      <c r="U165" s="525" t="s">
        <v>1468</v>
      </c>
      <c r="W165" s="446" t="s">
        <v>2572</v>
      </c>
      <c r="X165" s="446" t="s">
        <v>3412</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173" t="s">
        <v>2617</v>
      </c>
      <c r="N166" s="2173" t="s">
        <v>1332</v>
      </c>
      <c r="O166" s="2174" t="s">
        <v>4362</v>
      </c>
      <c r="P166" s="586" t="s">
        <v>447</v>
      </c>
      <c r="Q166" s="301"/>
      <c r="R166" s="177"/>
      <c r="S166" s="403"/>
      <c r="T166" s="525" t="s">
        <v>184</v>
      </c>
      <c r="U166" s="525" t="s">
        <v>2416</v>
      </c>
      <c r="W166" s="446" t="s">
        <v>2577</v>
      </c>
      <c r="X166" s="446" t="s">
        <v>3412</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173" t="s">
        <v>1207</v>
      </c>
      <c r="N167" s="2173" t="s">
        <v>1709</v>
      </c>
      <c r="O167" s="2174" t="s">
        <v>4363</v>
      </c>
      <c r="P167" s="586" t="s">
        <v>449</v>
      </c>
      <c r="Q167" s="301"/>
      <c r="R167" s="177"/>
      <c r="S167" s="403"/>
      <c r="T167" s="525" t="s">
        <v>448</v>
      </c>
      <c r="U167" s="525" t="s">
        <v>1792</v>
      </c>
      <c r="W167" s="446" t="s">
        <v>167</v>
      </c>
      <c r="X167" s="446" t="s">
        <v>3412</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173" t="s">
        <v>1207</v>
      </c>
      <c r="N168" s="2173" t="s">
        <v>1709</v>
      </c>
      <c r="O168" s="2174" t="s">
        <v>4364</v>
      </c>
      <c r="P168" s="586" t="s">
        <v>451</v>
      </c>
      <c r="Q168" s="301"/>
      <c r="R168" s="177"/>
      <c r="S168" s="403"/>
      <c r="T168" s="525" t="s">
        <v>450</v>
      </c>
      <c r="U168" s="525" t="s">
        <v>1218</v>
      </c>
      <c r="W168" s="446" t="s">
        <v>1217</v>
      </c>
      <c r="X168" s="446" t="s">
        <v>3412</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173" t="s">
        <v>1207</v>
      </c>
      <c r="N169" s="2173" t="s">
        <v>1338</v>
      </c>
      <c r="O169" s="2174" t="s">
        <v>4365</v>
      </c>
      <c r="P169" s="586" t="s">
        <v>453</v>
      </c>
      <c r="Q169" s="301"/>
      <c r="R169" s="177"/>
      <c r="S169" s="403"/>
      <c r="T169" s="525" t="s">
        <v>452</v>
      </c>
      <c r="U169" s="525" t="s">
        <v>185</v>
      </c>
      <c r="W169" s="446" t="s">
        <v>2088</v>
      </c>
      <c r="X169" s="446" t="s">
        <v>3412</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173" t="s">
        <v>2617</v>
      </c>
      <c r="N170" s="2173" t="s">
        <v>1338</v>
      </c>
      <c r="O170" s="2174" t="s">
        <v>4366</v>
      </c>
      <c r="P170" s="586" t="s">
        <v>2279</v>
      </c>
      <c r="Q170" s="301"/>
      <c r="R170" s="177"/>
      <c r="S170" s="403"/>
      <c r="T170" s="525" t="s">
        <v>454</v>
      </c>
      <c r="U170" s="525" t="s">
        <v>123</v>
      </c>
      <c r="W170" s="446" t="s">
        <v>1342</v>
      </c>
      <c r="X170" s="446" t="s">
        <v>3412</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173" t="s">
        <v>2617</v>
      </c>
      <c r="N171" s="2173" t="s">
        <v>1342</v>
      </c>
      <c r="O171" s="2174" t="s">
        <v>4367</v>
      </c>
      <c r="P171" s="586" t="s">
        <v>2281</v>
      </c>
      <c r="Q171" s="301"/>
      <c r="R171" s="177"/>
      <c r="S171" s="403"/>
      <c r="T171" s="525" t="s">
        <v>2280</v>
      </c>
      <c r="U171" s="525" t="s">
        <v>2504</v>
      </c>
      <c r="W171" s="446" t="s">
        <v>2091</v>
      </c>
      <c r="X171" s="446" t="s">
        <v>3412</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173" t="s">
        <v>2617</v>
      </c>
      <c r="N172" s="2173" t="s">
        <v>1217</v>
      </c>
      <c r="O172" s="2174" t="s">
        <v>4368</v>
      </c>
      <c r="P172" s="586" t="s">
        <v>370</v>
      </c>
      <c r="Q172" s="301"/>
      <c r="R172" s="177"/>
      <c r="S172" s="403"/>
      <c r="T172" s="525" t="s">
        <v>1863</v>
      </c>
      <c r="U172" s="525" t="s">
        <v>2194</v>
      </c>
      <c r="W172" s="446" t="s">
        <v>2124</v>
      </c>
      <c r="X172" s="446" t="s">
        <v>3412</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173" t="s">
        <v>2617</v>
      </c>
      <c r="N173" s="2173" t="s">
        <v>1795</v>
      </c>
      <c r="O173" s="2174" t="s">
        <v>4369</v>
      </c>
      <c r="P173" s="586" t="s">
        <v>372</v>
      </c>
      <c r="Q173" s="301"/>
      <c r="R173" s="177"/>
      <c r="S173" s="403"/>
      <c r="T173" s="525" t="s">
        <v>371</v>
      </c>
      <c r="U173" s="525" t="s">
        <v>2194</v>
      </c>
      <c r="W173" s="446" t="s">
        <v>2128</v>
      </c>
      <c r="X173" s="446" t="s">
        <v>3412</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173" t="s">
        <v>2617</v>
      </c>
      <c r="N174" s="2173" t="s">
        <v>1709</v>
      </c>
      <c r="O174" s="2174" t="s">
        <v>4370</v>
      </c>
      <c r="P174" s="586" t="s">
        <v>2563</v>
      </c>
      <c r="Q174" s="301"/>
      <c r="R174" s="177"/>
      <c r="S174" s="403"/>
      <c r="T174" s="525" t="s">
        <v>1222</v>
      </c>
      <c r="U174" s="525" t="s">
        <v>2546</v>
      </c>
      <c r="W174" s="446" t="s">
        <v>1796</v>
      </c>
      <c r="X174" s="446" t="s">
        <v>3412</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173" t="s">
        <v>2617</v>
      </c>
      <c r="N175" s="2173" t="s">
        <v>1338</v>
      </c>
      <c r="O175" s="2174" t="s">
        <v>4371</v>
      </c>
      <c r="P175" s="586" t="s">
        <v>2565</v>
      </c>
      <c r="Q175" s="301"/>
      <c r="R175" s="177"/>
      <c r="S175" s="403"/>
      <c r="T175" s="525" t="s">
        <v>2564</v>
      </c>
      <c r="U175" s="525" t="s">
        <v>2551</v>
      </c>
      <c r="W175" s="446" t="s">
        <v>1016</v>
      </c>
      <c r="X175" s="446" t="s">
        <v>3412</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173" t="s">
        <v>1207</v>
      </c>
      <c r="N176" s="2173" t="s">
        <v>1217</v>
      </c>
      <c r="O176" s="2174" t="s">
        <v>4372</v>
      </c>
      <c r="P176" s="586" t="s">
        <v>2567</v>
      </c>
      <c r="Q176" s="301"/>
      <c r="R176" s="177"/>
      <c r="S176" s="403"/>
      <c r="T176" s="525" t="s">
        <v>2566</v>
      </c>
      <c r="U176" s="525" t="s">
        <v>1107</v>
      </c>
      <c r="W176" s="446" t="s">
        <v>2462</v>
      </c>
      <c r="X176" s="446" t="s">
        <v>3412</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173" t="s">
        <v>2617</v>
      </c>
      <c r="N177" s="2173" t="s">
        <v>1533</v>
      </c>
      <c r="O177" s="2174" t="s">
        <v>4373</v>
      </c>
      <c r="P177" s="586" t="s">
        <v>2569</v>
      </c>
      <c r="Q177" s="301"/>
      <c r="R177" s="177"/>
      <c r="S177" s="403"/>
      <c r="T177" s="525" t="s">
        <v>2568</v>
      </c>
      <c r="U177" s="525" t="s">
        <v>325</v>
      </c>
      <c r="W177" s="446" t="s">
        <v>2464</v>
      </c>
      <c r="X177" s="446" t="s">
        <v>3412</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173" t="s">
        <v>2617</v>
      </c>
      <c r="N178" s="2173" t="s">
        <v>1709</v>
      </c>
      <c r="O178" s="2174" t="s">
        <v>4374</v>
      </c>
      <c r="P178" s="586" t="s">
        <v>2571</v>
      </c>
      <c r="Q178" s="301"/>
      <c r="R178" s="177"/>
      <c r="S178" s="403"/>
      <c r="T178" s="525" t="s">
        <v>2570</v>
      </c>
      <c r="U178" s="525" t="s">
        <v>2501</v>
      </c>
      <c r="W178" s="446" t="s">
        <v>2466</v>
      </c>
      <c r="X178" s="446" t="s">
        <v>3412</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173" t="s">
        <v>1207</v>
      </c>
      <c r="N179" s="2173" t="s">
        <v>1338</v>
      </c>
      <c r="O179" s="2174" t="s">
        <v>4375</v>
      </c>
      <c r="P179" s="586" t="s">
        <v>2573</v>
      </c>
      <c r="Q179" s="301"/>
      <c r="R179" s="177"/>
      <c r="S179" s="403"/>
      <c r="T179" s="525" t="s">
        <v>2572</v>
      </c>
      <c r="U179" s="525" t="s">
        <v>1344</v>
      </c>
      <c r="W179" s="446" t="s">
        <v>2469</v>
      </c>
      <c r="X179" s="446" t="s">
        <v>3412</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173" t="s">
        <v>2617</v>
      </c>
      <c r="N180" s="2173" t="s">
        <v>162</v>
      </c>
      <c r="O180" s="2174" t="s">
        <v>4376</v>
      </c>
      <c r="P180" s="586" t="s">
        <v>2574</v>
      </c>
      <c r="Q180" s="301"/>
      <c r="R180" s="177"/>
      <c r="S180" s="403"/>
      <c r="T180" s="525" t="s">
        <v>2575</v>
      </c>
      <c r="U180" s="525" t="s">
        <v>2609</v>
      </c>
      <c r="W180" s="446" t="s">
        <v>2248</v>
      </c>
      <c r="X180" s="446" t="s">
        <v>3412</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173" t="s">
        <v>2617</v>
      </c>
      <c r="N181" s="2173" t="s">
        <v>1533</v>
      </c>
      <c r="O181" s="2174" t="s">
        <v>4377</v>
      </c>
      <c r="P181" s="586" t="s">
        <v>2576</v>
      </c>
      <c r="Q181" s="301"/>
      <c r="R181" s="177"/>
      <c r="S181" s="403"/>
      <c r="T181" s="525" t="s">
        <v>2577</v>
      </c>
      <c r="U181" s="525" t="s">
        <v>1933</v>
      </c>
      <c r="W181" s="446" t="s">
        <v>2348</v>
      </c>
      <c r="X181" s="446" t="s">
        <v>3412</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173" t="s">
        <v>1207</v>
      </c>
      <c r="N182" s="2173" t="s">
        <v>1217</v>
      </c>
      <c r="O182" s="2174" t="s">
        <v>4378</v>
      </c>
      <c r="P182" s="586" t="s">
        <v>419</v>
      </c>
      <c r="Q182" s="301"/>
      <c r="R182" s="177"/>
      <c r="S182" s="403"/>
      <c r="T182" s="525" t="s">
        <v>167</v>
      </c>
      <c r="U182" s="525" t="s">
        <v>166</v>
      </c>
      <c r="W182" s="446" t="s">
        <v>307</v>
      </c>
      <c r="X182" s="446" t="s">
        <v>3412</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175" t="s">
        <v>1207</v>
      </c>
      <c r="N183" s="2175" t="s">
        <v>167</v>
      </c>
      <c r="O183" s="2174" t="s">
        <v>4379</v>
      </c>
      <c r="P183" s="586" t="s">
        <v>420</v>
      </c>
      <c r="Q183" s="301"/>
      <c r="R183" s="292"/>
      <c r="S183" s="403"/>
      <c r="T183" s="525" t="s">
        <v>1217</v>
      </c>
      <c r="U183" s="525" t="s">
        <v>1218</v>
      </c>
      <c r="W183" s="446" t="s">
        <v>11</v>
      </c>
      <c r="X183" s="446" t="s">
        <v>3412</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175" t="s">
        <v>2617</v>
      </c>
      <c r="N184" s="2175" t="s">
        <v>1795</v>
      </c>
      <c r="O184" s="2174" t="s">
        <v>4380</v>
      </c>
      <c r="P184" s="586" t="s">
        <v>786</v>
      </c>
      <c r="Q184" s="546"/>
      <c r="R184" s="177"/>
      <c r="S184" s="403"/>
      <c r="T184" s="525" t="s">
        <v>787</v>
      </c>
      <c r="U184" s="525" t="s">
        <v>198</v>
      </c>
      <c r="W184" s="446" t="s">
        <v>13</v>
      </c>
      <c r="X184" s="446" t="s">
        <v>3412</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173" t="s">
        <v>1207</v>
      </c>
      <c r="N185" s="2173" t="s">
        <v>1217</v>
      </c>
      <c r="O185" s="2174" t="s">
        <v>4381</v>
      </c>
      <c r="P185" s="586" t="s">
        <v>788</v>
      </c>
      <c r="Q185" s="546"/>
      <c r="R185" s="177"/>
      <c r="S185" s="403"/>
      <c r="T185" s="525" t="s">
        <v>2088</v>
      </c>
      <c r="U185" s="525" t="s">
        <v>1325</v>
      </c>
      <c r="W185" s="446" t="s">
        <v>60</v>
      </c>
      <c r="X185" s="446" t="s">
        <v>3412</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175" t="s">
        <v>2617</v>
      </c>
      <c r="N186" s="2175" t="s">
        <v>1709</v>
      </c>
      <c r="O186" s="2174" t="s">
        <v>4382</v>
      </c>
      <c r="P186" s="586" t="s">
        <v>2089</v>
      </c>
      <c r="Q186" s="546"/>
      <c r="R186" s="177"/>
      <c r="S186" s="403"/>
      <c r="T186" s="525" t="s">
        <v>1342</v>
      </c>
      <c r="U186" s="525" t="s">
        <v>1119</v>
      </c>
      <c r="W186" s="446" t="s">
        <v>62</v>
      </c>
      <c r="X186" s="446" t="s">
        <v>3412</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173" t="s">
        <v>1207</v>
      </c>
      <c r="N187" s="2173" t="s">
        <v>1217</v>
      </c>
      <c r="O187" s="2174" t="s">
        <v>4383</v>
      </c>
      <c r="P187" s="586" t="s">
        <v>2090</v>
      </c>
      <c r="Q187" s="546"/>
      <c r="R187" s="177"/>
      <c r="S187" s="403"/>
      <c r="T187" s="525" t="s">
        <v>2091</v>
      </c>
      <c r="U187" s="525" t="s">
        <v>2503</v>
      </c>
      <c r="W187" s="446" t="s">
        <v>354</v>
      </c>
      <c r="X187" s="446" t="s">
        <v>3412</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175" t="s">
        <v>2617</v>
      </c>
      <c r="N188" s="2175" t="s">
        <v>1709</v>
      </c>
      <c r="O188" s="2174" t="s">
        <v>4384</v>
      </c>
      <c r="P188" s="586" t="s">
        <v>2092</v>
      </c>
      <c r="Q188" s="546"/>
      <c r="R188" s="177"/>
      <c r="S188" s="403"/>
      <c r="T188" s="525" t="s">
        <v>2016</v>
      </c>
      <c r="U188" s="525" t="s">
        <v>2190</v>
      </c>
      <c r="W188" s="446" t="s">
        <v>358</v>
      </c>
      <c r="X188" s="446" t="s">
        <v>3412</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175" t="s">
        <v>2617</v>
      </c>
      <c r="N189" s="2175" t="s">
        <v>1795</v>
      </c>
      <c r="O189" s="2174" t="s">
        <v>4385</v>
      </c>
      <c r="P189" s="586" t="s">
        <v>2123</v>
      </c>
      <c r="Q189" s="546"/>
      <c r="R189" s="177"/>
      <c r="S189" s="403"/>
      <c r="T189" s="525" t="s">
        <v>2093</v>
      </c>
      <c r="U189" s="525" t="s">
        <v>330</v>
      </c>
      <c r="W189" s="446" t="s">
        <v>2307</v>
      </c>
      <c r="X189" s="446" t="s">
        <v>3412</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173" t="s">
        <v>2617</v>
      </c>
      <c r="N190" s="2173" t="s">
        <v>1342</v>
      </c>
      <c r="O190" s="2174" t="s">
        <v>4386</v>
      </c>
      <c r="P190" s="586" t="s">
        <v>2125</v>
      </c>
      <c r="Q190" s="546"/>
      <c r="R190" s="177"/>
      <c r="S190" s="403"/>
      <c r="T190" s="525" t="s">
        <v>2124</v>
      </c>
      <c r="U190" s="525" t="s">
        <v>634</v>
      </c>
      <c r="W190" s="446" t="s">
        <v>1344</v>
      </c>
      <c r="X190" s="446" t="s">
        <v>3412</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175" t="s">
        <v>2617</v>
      </c>
      <c r="N191" s="2175" t="s">
        <v>1709</v>
      </c>
      <c r="O191" s="2174" t="s">
        <v>4387</v>
      </c>
      <c r="P191" s="586" t="s">
        <v>2127</v>
      </c>
      <c r="Q191" s="546"/>
      <c r="R191" s="177"/>
      <c r="S191" s="403"/>
      <c r="T191" s="525" t="s">
        <v>2126</v>
      </c>
      <c r="U191" s="525" t="s">
        <v>1646</v>
      </c>
      <c r="W191" s="446" t="s">
        <v>1572</v>
      </c>
      <c r="X191" s="446" t="s">
        <v>3412</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173" t="s">
        <v>1207</v>
      </c>
      <c r="N192" s="2173" t="s">
        <v>1217</v>
      </c>
      <c r="O192" s="2174" t="s">
        <v>4388</v>
      </c>
      <c r="P192" s="586" t="s">
        <v>2129</v>
      </c>
      <c r="Q192" s="546"/>
      <c r="R192" s="177"/>
      <c r="S192" s="403"/>
      <c r="T192" s="525" t="s">
        <v>2128</v>
      </c>
      <c r="U192" s="525" t="s">
        <v>198</v>
      </c>
      <c r="W192" s="446" t="s">
        <v>1576</v>
      </c>
      <c r="X192" s="446" t="s">
        <v>3412</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173" t="s">
        <v>2617</v>
      </c>
      <c r="N193" s="2173" t="s">
        <v>1332</v>
      </c>
      <c r="O193" s="2174" t="s">
        <v>4389</v>
      </c>
      <c r="P193" s="586" t="s">
        <v>2557</v>
      </c>
      <c r="Q193" s="546"/>
      <c r="R193" s="177"/>
      <c r="S193" s="403"/>
      <c r="T193" s="525" t="s">
        <v>1796</v>
      </c>
      <c r="U193" s="525" t="s">
        <v>123</v>
      </c>
      <c r="W193" s="446" t="s">
        <v>1758</v>
      </c>
      <c r="X193" s="446" t="s">
        <v>3412</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175" t="s">
        <v>2617</v>
      </c>
      <c r="N194" s="2175" t="s">
        <v>1795</v>
      </c>
      <c r="O194" s="2174" t="s">
        <v>4390</v>
      </c>
      <c r="P194" s="586" t="s">
        <v>1015</v>
      </c>
      <c r="Q194" s="546"/>
      <c r="R194" s="177"/>
      <c r="S194" s="403"/>
      <c r="T194" s="525" t="s">
        <v>2558</v>
      </c>
      <c r="U194" s="525" t="s">
        <v>165</v>
      </c>
      <c r="W194" s="446" t="s">
        <v>1032</v>
      </c>
      <c r="X194" s="446" t="s">
        <v>3412</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173" t="s">
        <v>2617</v>
      </c>
      <c r="N195" s="2173" t="s">
        <v>1533</v>
      </c>
      <c r="O195" s="2174" t="s">
        <v>4391</v>
      </c>
      <c r="P195" s="586" t="s">
        <v>2019</v>
      </c>
      <c r="Q195" s="546"/>
      <c r="R195" s="177"/>
      <c r="S195" s="403"/>
      <c r="T195" s="525" t="s">
        <v>1016</v>
      </c>
      <c r="U195" s="525" t="s">
        <v>431</v>
      </c>
      <c r="W195" s="446" t="s">
        <v>1035</v>
      </c>
      <c r="X195" s="446" t="s">
        <v>3412</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173" t="s">
        <v>1207</v>
      </c>
      <c r="N196" s="2173" t="s">
        <v>1217</v>
      </c>
      <c r="O196" s="2174" t="s">
        <v>4392</v>
      </c>
      <c r="P196" s="586" t="s">
        <v>15</v>
      </c>
      <c r="Q196" s="546"/>
      <c r="R196" s="177"/>
      <c r="S196" s="403"/>
      <c r="T196" s="525" t="s">
        <v>1326</v>
      </c>
      <c r="U196" s="525" t="s">
        <v>330</v>
      </c>
      <c r="W196" s="446" t="s">
        <v>1771</v>
      </c>
      <c r="X196" s="446" t="s">
        <v>3412</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175" t="s">
        <v>2617</v>
      </c>
      <c r="N197" s="2175" t="s">
        <v>1795</v>
      </c>
      <c r="O197" s="2174" t="s">
        <v>4393</v>
      </c>
      <c r="P197" s="586" t="s">
        <v>2252</v>
      </c>
      <c r="Q197" s="546"/>
      <c r="R197" s="177"/>
      <c r="S197" s="403"/>
      <c r="T197" s="525" t="s">
        <v>16</v>
      </c>
      <c r="U197" s="525" t="s">
        <v>1679</v>
      </c>
      <c r="W197" s="446" t="s">
        <v>2081</v>
      </c>
      <c r="X197" s="446" t="s">
        <v>3412</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173" t="s">
        <v>1207</v>
      </c>
      <c r="N198" s="2173" t="s">
        <v>1217</v>
      </c>
      <c r="O198" s="2174" t="s">
        <v>4394</v>
      </c>
      <c r="P198" s="586" t="s">
        <v>2254</v>
      </c>
      <c r="Q198" s="546"/>
      <c r="R198" s="177"/>
      <c r="S198" s="403"/>
      <c r="T198" s="525" t="s">
        <v>2253</v>
      </c>
      <c r="U198" s="525" t="s">
        <v>1222</v>
      </c>
      <c r="W198" s="446" t="s">
        <v>2083</v>
      </c>
      <c r="X198" s="446" t="s">
        <v>3412</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175" t="s">
        <v>2617</v>
      </c>
      <c r="N199" s="2175" t="s">
        <v>1332</v>
      </c>
      <c r="O199" s="2174" t="s">
        <v>4395</v>
      </c>
      <c r="P199" s="586" t="s">
        <v>2256</v>
      </c>
      <c r="Q199" s="546"/>
      <c r="R199" s="177"/>
      <c r="S199" s="403"/>
      <c r="T199" s="292" t="s">
        <v>2255</v>
      </c>
      <c r="U199" s="292" t="s">
        <v>2261</v>
      </c>
      <c r="W199" s="446" t="s">
        <v>682</v>
      </c>
      <c r="X199" s="446" t="s">
        <v>3412</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175" t="s">
        <v>2617</v>
      </c>
      <c r="N200" s="2175" t="s">
        <v>1795</v>
      </c>
      <c r="O200" s="2174" t="s">
        <v>4396</v>
      </c>
      <c r="P200" s="586" t="s">
        <v>2286</v>
      </c>
      <c r="Q200" s="546"/>
      <c r="R200" s="177"/>
      <c r="S200" s="403"/>
      <c r="T200" s="525" t="s">
        <v>2579</v>
      </c>
      <c r="U200" s="525" t="s">
        <v>634</v>
      </c>
      <c r="W200" s="446" t="s">
        <v>1259</v>
      </c>
      <c r="X200" s="446" t="s">
        <v>3412</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175" t="s">
        <v>1207</v>
      </c>
      <c r="N201" s="2175" t="s">
        <v>1795</v>
      </c>
      <c r="O201" s="2174" t="s">
        <v>4397</v>
      </c>
      <c r="P201" s="586" t="s">
        <v>1786</v>
      </c>
      <c r="Q201" s="546"/>
      <c r="R201" s="177"/>
      <c r="S201" s="403"/>
      <c r="T201" s="525" t="s">
        <v>2257</v>
      </c>
      <c r="U201" s="525" t="s">
        <v>122</v>
      </c>
      <c r="W201" s="446" t="s">
        <v>1261</v>
      </c>
      <c r="X201" s="446" t="s">
        <v>3412</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173" t="s">
        <v>1207</v>
      </c>
      <c r="N202" s="2173" t="s">
        <v>1217</v>
      </c>
      <c r="O202" s="2174" t="s">
        <v>4398</v>
      </c>
      <c r="P202" s="586" t="s">
        <v>1788</v>
      </c>
      <c r="Q202" s="546"/>
      <c r="R202" s="177"/>
      <c r="S202" s="403"/>
      <c r="T202" s="525" t="s">
        <v>1762</v>
      </c>
      <c r="U202" s="525" t="s">
        <v>2506</v>
      </c>
      <c r="W202" s="446" t="s">
        <v>2500</v>
      </c>
      <c r="X202" s="446" t="s">
        <v>3412</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175" t="s">
        <v>2617</v>
      </c>
      <c r="N203" s="2175" t="s">
        <v>1795</v>
      </c>
      <c r="O203" s="2174" t="s">
        <v>4399</v>
      </c>
      <c r="P203" s="586" t="s">
        <v>2175</v>
      </c>
      <c r="Q203" s="546"/>
      <c r="R203" s="177"/>
      <c r="S203" s="403"/>
      <c r="T203" s="525" t="s">
        <v>1787</v>
      </c>
      <c r="U203" s="525" t="s">
        <v>1325</v>
      </c>
      <c r="W203" s="446" t="s">
        <v>2510</v>
      </c>
      <c r="X203" s="446" t="s">
        <v>3412</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173" t="s">
        <v>2617</v>
      </c>
      <c r="N204" s="2173" t="s">
        <v>1709</v>
      </c>
      <c r="O204" s="2174" t="s">
        <v>4400</v>
      </c>
      <c r="P204" s="586" t="s">
        <v>2176</v>
      </c>
      <c r="Q204" s="546"/>
      <c r="R204" s="177"/>
      <c r="S204" s="403"/>
      <c r="T204" s="525" t="s">
        <v>1789</v>
      </c>
      <c r="U204" s="525" t="s">
        <v>2025</v>
      </c>
      <c r="W204" s="446" t="s">
        <v>88</v>
      </c>
      <c r="X204" s="446" t="s">
        <v>3412</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173" t="s">
        <v>2617</v>
      </c>
      <c r="N205" s="2173" t="s">
        <v>1338</v>
      </c>
      <c r="O205" s="2174" t="s">
        <v>4401</v>
      </c>
      <c r="P205" s="586" t="s">
        <v>2461</v>
      </c>
      <c r="Q205" s="301"/>
      <c r="R205" s="177"/>
      <c r="S205" s="403"/>
      <c r="T205" s="525" t="s">
        <v>833</v>
      </c>
      <c r="U205" s="525" t="s">
        <v>2606</v>
      </c>
      <c r="W205" s="446" t="s">
        <v>1246</v>
      </c>
      <c r="X205" s="446" t="s">
        <v>3412</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175" t="s">
        <v>2617</v>
      </c>
      <c r="N206" s="2175" t="s">
        <v>167</v>
      </c>
      <c r="O206" s="2174" t="s">
        <v>4402</v>
      </c>
      <c r="P206" s="586" t="s">
        <v>2463</v>
      </c>
      <c r="Q206" s="301"/>
      <c r="R206" s="177"/>
      <c r="S206" s="403"/>
      <c r="T206" s="525" t="s">
        <v>2177</v>
      </c>
      <c r="U206" s="525" t="s">
        <v>2608</v>
      </c>
      <c r="W206" s="446" t="s">
        <v>162</v>
      </c>
      <c r="X206" s="446" t="s">
        <v>3412</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175" t="s">
        <v>2617</v>
      </c>
      <c r="N207" s="2175" t="s">
        <v>1342</v>
      </c>
      <c r="O207" s="2174" t="s">
        <v>4403</v>
      </c>
      <c r="P207" s="586" t="s">
        <v>2465</v>
      </c>
      <c r="Q207" s="301"/>
      <c r="R207" s="177"/>
      <c r="S207" s="403"/>
      <c r="T207" s="292" t="s">
        <v>2462</v>
      </c>
      <c r="U207" s="292" t="s">
        <v>1104</v>
      </c>
      <c r="W207" s="446" t="s">
        <v>904</v>
      </c>
      <c r="X207" s="446" t="s">
        <v>3412</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175" t="s">
        <v>2617</v>
      </c>
      <c r="N208" s="2175" t="s">
        <v>1338</v>
      </c>
      <c r="O208" s="2174" t="s">
        <v>4404</v>
      </c>
      <c r="P208" s="586" t="s">
        <v>2467</v>
      </c>
      <c r="Q208" s="301"/>
      <c r="R208" s="177"/>
      <c r="S208" s="403"/>
      <c r="T208" s="525" t="s">
        <v>2580</v>
      </c>
      <c r="U208" s="525" t="s">
        <v>321</v>
      </c>
      <c r="W208" s="446" t="s">
        <v>2157</v>
      </c>
      <c r="X208" s="446" t="s">
        <v>3412</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175" t="s">
        <v>2617</v>
      </c>
      <c r="N209" s="2175" t="s">
        <v>1217</v>
      </c>
      <c r="O209" s="2174" t="s">
        <v>4405</v>
      </c>
      <c r="P209" s="586" t="s">
        <v>2468</v>
      </c>
      <c r="Q209" s="301"/>
      <c r="R209" s="177"/>
      <c r="S209" s="403"/>
      <c r="T209" s="525" t="s">
        <v>2464</v>
      </c>
      <c r="U209" s="525" t="s">
        <v>1936</v>
      </c>
      <c r="W209" s="446" t="s">
        <v>2075</v>
      </c>
      <c r="X209" s="446" t="s">
        <v>3412</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173" t="s">
        <v>1207</v>
      </c>
      <c r="N210" s="2173" t="s">
        <v>1217</v>
      </c>
      <c r="O210" s="2174" t="s">
        <v>4406</v>
      </c>
      <c r="P210" s="586" t="s">
        <v>2247</v>
      </c>
      <c r="Q210" s="301"/>
      <c r="R210" s="177"/>
      <c r="S210" s="403"/>
      <c r="T210" s="525" t="s">
        <v>2466</v>
      </c>
      <c r="U210" s="525" t="s">
        <v>883</v>
      </c>
      <c r="W210" s="446" t="s">
        <v>605</v>
      </c>
      <c r="X210" s="446" t="s">
        <v>3412</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175" t="s">
        <v>1207</v>
      </c>
      <c r="N211" s="2175" t="s">
        <v>1217</v>
      </c>
      <c r="O211" s="2174" t="s">
        <v>4407</v>
      </c>
      <c r="P211" s="586" t="s">
        <v>715</v>
      </c>
      <c r="Q211" s="301"/>
      <c r="R211" s="177"/>
      <c r="S211" s="403"/>
      <c r="T211" s="525" t="s">
        <v>2469</v>
      </c>
      <c r="U211" s="525" t="s">
        <v>160</v>
      </c>
      <c r="W211" s="446" t="s">
        <v>607</v>
      </c>
      <c r="X211" s="446" t="s">
        <v>3412</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173" t="s">
        <v>1207</v>
      </c>
      <c r="N212" s="2173" t="s">
        <v>1217</v>
      </c>
      <c r="O212" s="2174" t="s">
        <v>4408</v>
      </c>
      <c r="P212" s="586" t="s">
        <v>717</v>
      </c>
      <c r="Q212" s="301"/>
      <c r="R212" s="177"/>
      <c r="S212" s="403"/>
      <c r="T212" s="525" t="s">
        <v>2248</v>
      </c>
      <c r="U212" s="525" t="s">
        <v>661</v>
      </c>
      <c r="W212" s="446" t="s">
        <v>2550</v>
      </c>
      <c r="X212" s="446" t="s">
        <v>3412</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175" t="s">
        <v>2617</v>
      </c>
      <c r="N213" s="2175" t="s">
        <v>167</v>
      </c>
      <c r="O213" s="2174" t="s">
        <v>4409</v>
      </c>
      <c r="P213" s="586" t="s">
        <v>719</v>
      </c>
      <c r="Q213" s="301"/>
      <c r="R213" s="177"/>
      <c r="S213" s="403"/>
      <c r="T213" s="525" t="s">
        <v>716</v>
      </c>
      <c r="U213" s="525" t="s">
        <v>2498</v>
      </c>
      <c r="W213" s="446" t="s">
        <v>611</v>
      </c>
      <c r="X213" s="446" t="s">
        <v>3412</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173" t="s">
        <v>1207</v>
      </c>
      <c r="N214" s="2173" t="s">
        <v>1217</v>
      </c>
      <c r="O214" s="2174" t="s">
        <v>4410</v>
      </c>
      <c r="P214" s="586" t="s">
        <v>721</v>
      </c>
      <c r="Q214" s="301"/>
      <c r="R214" s="177"/>
      <c r="S214" s="403"/>
      <c r="T214" s="525" t="s">
        <v>718</v>
      </c>
      <c r="U214" s="525" t="s">
        <v>1119</v>
      </c>
      <c r="W214" s="446" t="s">
        <v>551</v>
      </c>
      <c r="X214" s="446" t="s">
        <v>3412</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175" t="s">
        <v>2617</v>
      </c>
      <c r="N215" s="2175" t="s">
        <v>1217</v>
      </c>
      <c r="O215" s="2174" t="s">
        <v>4411</v>
      </c>
      <c r="P215" s="586" t="s">
        <v>2239</v>
      </c>
      <c r="Q215" s="301"/>
      <c r="R215" s="177"/>
      <c r="S215" s="403"/>
      <c r="T215" s="292" t="s">
        <v>720</v>
      </c>
      <c r="U215" s="292" t="s">
        <v>2608</v>
      </c>
      <c r="W215" s="446" t="s">
        <v>754</v>
      </c>
      <c r="X215" s="446" t="s">
        <v>3412</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175" t="s">
        <v>2617</v>
      </c>
      <c r="N216" s="2175" t="s">
        <v>1342</v>
      </c>
      <c r="O216" s="2174" t="s">
        <v>4412</v>
      </c>
      <c r="P216" s="586" t="s">
        <v>2240</v>
      </c>
      <c r="Q216" s="301"/>
      <c r="R216" s="177"/>
      <c r="S216" s="403"/>
      <c r="T216" s="525" t="s">
        <v>2581</v>
      </c>
      <c r="U216" s="525" t="s">
        <v>2500</v>
      </c>
      <c r="W216" s="446" t="s">
        <v>38</v>
      </c>
      <c r="X216" s="446" t="s">
        <v>3412</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175" t="s">
        <v>1207</v>
      </c>
      <c r="N217" s="2175" t="s">
        <v>1338</v>
      </c>
      <c r="O217" s="2174" t="s">
        <v>4413</v>
      </c>
      <c r="P217" s="586" t="s">
        <v>2242</v>
      </c>
      <c r="Q217" s="301"/>
      <c r="R217" s="177"/>
      <c r="S217" s="403"/>
      <c r="T217" s="525" t="s">
        <v>2241</v>
      </c>
      <c r="U217" s="525" t="s">
        <v>1679</v>
      </c>
      <c r="W217" s="446" t="s">
        <v>1984</v>
      </c>
      <c r="X217" s="446" t="s">
        <v>3412</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175" t="s">
        <v>2617</v>
      </c>
      <c r="N218" s="2175" t="s">
        <v>1217</v>
      </c>
      <c r="O218" s="2174" t="s">
        <v>4414</v>
      </c>
      <c r="P218" s="586" t="s">
        <v>690</v>
      </c>
      <c r="Q218" s="301"/>
      <c r="R218" s="177"/>
      <c r="S218" s="403"/>
      <c r="T218" s="525" t="s">
        <v>2243</v>
      </c>
      <c r="U218" s="525" t="s">
        <v>2602</v>
      </c>
      <c r="W218" s="446" t="s">
        <v>337</v>
      </c>
      <c r="X218" s="446" t="s">
        <v>3412</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175" t="s">
        <v>2617</v>
      </c>
      <c r="N219" s="2175" t="s">
        <v>1795</v>
      </c>
      <c r="O219" s="2174" t="s">
        <v>4415</v>
      </c>
      <c r="P219" s="586" t="s">
        <v>797</v>
      </c>
      <c r="Q219" s="301"/>
      <c r="R219" s="177"/>
      <c r="S219" s="403"/>
      <c r="T219" s="525" t="s">
        <v>691</v>
      </c>
      <c r="U219" s="525" t="s">
        <v>741</v>
      </c>
      <c r="W219" s="446" t="s">
        <v>345</v>
      </c>
      <c r="X219" s="446" t="s">
        <v>3412</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175" t="s">
        <v>2617</v>
      </c>
      <c r="N220" s="2175" t="s">
        <v>167</v>
      </c>
      <c r="O220" s="2174" t="s">
        <v>4416</v>
      </c>
      <c r="P220" s="586" t="s">
        <v>2288</v>
      </c>
      <c r="Q220" s="301"/>
      <c r="R220" s="177"/>
      <c r="S220" s="403"/>
      <c r="T220" s="525" t="s">
        <v>2287</v>
      </c>
      <c r="U220" s="525" t="s">
        <v>318</v>
      </c>
      <c r="W220" s="446" t="s">
        <v>197</v>
      </c>
      <c r="X220" s="446" t="s">
        <v>3412</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173" t="s">
        <v>1207</v>
      </c>
      <c r="N221" s="2173" t="s">
        <v>1217</v>
      </c>
      <c r="O221" s="2174" t="s">
        <v>4417</v>
      </c>
      <c r="P221" s="586" t="s">
        <v>2317</v>
      </c>
      <c r="Q221" s="301"/>
      <c r="R221" s="177"/>
      <c r="S221" s="403"/>
      <c r="T221" s="525" t="s">
        <v>2348</v>
      </c>
      <c r="U221" s="525" t="s">
        <v>887</v>
      </c>
      <c r="W221" s="446" t="s">
        <v>2172</v>
      </c>
      <c r="X221" s="446" t="s">
        <v>3412</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175" t="s">
        <v>2617</v>
      </c>
      <c r="N222" s="2175" t="s">
        <v>167</v>
      </c>
      <c r="O222" s="2174" t="s">
        <v>4418</v>
      </c>
      <c r="P222" s="586" t="s">
        <v>46</v>
      </c>
      <c r="Q222" s="301"/>
      <c r="R222" s="177"/>
      <c r="S222" s="403"/>
      <c r="T222" s="525" t="s">
        <v>47</v>
      </c>
      <c r="U222" s="525" t="s">
        <v>325</v>
      </c>
      <c r="W222" s="446" t="s">
        <v>198</v>
      </c>
      <c r="X222" s="446" t="s">
        <v>3412</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175" t="s">
        <v>1207</v>
      </c>
      <c r="N223" s="2175" t="s">
        <v>1217</v>
      </c>
      <c r="O223" s="2174" t="s">
        <v>4419</v>
      </c>
      <c r="P223" s="586" t="s">
        <v>639</v>
      </c>
      <c r="Q223" s="301"/>
      <c r="R223" s="177"/>
      <c r="S223" s="403"/>
      <c r="T223" s="525" t="s">
        <v>640</v>
      </c>
      <c r="U223" s="525" t="s">
        <v>2610</v>
      </c>
      <c r="W223" s="446" t="s">
        <v>384</v>
      </c>
      <c r="X223" s="446" t="s">
        <v>3412</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175" t="s">
        <v>2617</v>
      </c>
      <c r="N224" s="2175" t="s">
        <v>1332</v>
      </c>
      <c r="O224" s="2174" t="s">
        <v>4420</v>
      </c>
      <c r="P224" s="586" t="s">
        <v>306</v>
      </c>
      <c r="Q224" s="301"/>
      <c r="R224" s="177"/>
      <c r="S224" s="403"/>
      <c r="T224" s="525" t="s">
        <v>307</v>
      </c>
      <c r="U224" s="525" t="s">
        <v>316</v>
      </c>
      <c r="W224" s="446" t="s">
        <v>882</v>
      </c>
      <c r="X224" s="446" t="s">
        <v>3412</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173" t="s">
        <v>2617</v>
      </c>
      <c r="N225" s="2173" t="s">
        <v>1217</v>
      </c>
      <c r="O225" s="2174" t="s">
        <v>4421</v>
      </c>
      <c r="P225" s="586" t="s">
        <v>2386</v>
      </c>
      <c r="Q225" s="301"/>
      <c r="R225" s="177"/>
      <c r="S225" s="403"/>
      <c r="T225" s="525" t="s">
        <v>2387</v>
      </c>
      <c r="U225" s="525" t="s">
        <v>198</v>
      </c>
      <c r="W225" s="446" t="s">
        <v>1940</v>
      </c>
      <c r="X225" s="446" t="s">
        <v>3412</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173" t="s">
        <v>2617</v>
      </c>
      <c r="N226" s="2173" t="s">
        <v>162</v>
      </c>
      <c r="O226" s="2174" t="s">
        <v>4422</v>
      </c>
      <c r="P226" s="586" t="s">
        <v>2409</v>
      </c>
      <c r="Q226" s="301"/>
      <c r="R226" s="177"/>
      <c r="S226" s="403"/>
      <c r="T226" s="525" t="s">
        <v>2410</v>
      </c>
      <c r="U226" s="525" t="s">
        <v>1678</v>
      </c>
      <c r="W226" s="446" t="s">
        <v>1944</v>
      </c>
      <c r="X226" s="446" t="s">
        <v>3412</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175" t="s">
        <v>2617</v>
      </c>
      <c r="N227" s="2175" t="s">
        <v>167</v>
      </c>
      <c r="O227" s="2174" t="s">
        <v>4423</v>
      </c>
      <c r="P227" s="586" t="s">
        <v>2411</v>
      </c>
      <c r="Q227" s="301"/>
      <c r="R227" s="177"/>
      <c r="S227" s="403"/>
      <c r="T227" s="525" t="s">
        <v>2868</v>
      </c>
      <c r="U227" s="525" t="s">
        <v>634</v>
      </c>
      <c r="W227" s="446" t="s">
        <v>724</v>
      </c>
      <c r="X227" s="446" t="s">
        <v>3412</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173" t="s">
        <v>1207</v>
      </c>
      <c r="N228" s="2173" t="s">
        <v>1217</v>
      </c>
      <c r="O228" s="2174" t="s">
        <v>4424</v>
      </c>
      <c r="P228" s="586" t="s">
        <v>2412</v>
      </c>
      <c r="Q228" s="301"/>
      <c r="R228" s="177"/>
      <c r="S228" s="403"/>
      <c r="T228" s="525" t="s">
        <v>635</v>
      </c>
      <c r="U228" s="525" t="s">
        <v>1339</v>
      </c>
      <c r="W228" s="446" t="s">
        <v>1150</v>
      </c>
      <c r="X228" s="446" t="s">
        <v>3412</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173" t="s">
        <v>1207</v>
      </c>
      <c r="N229" s="2173" t="s">
        <v>1217</v>
      </c>
      <c r="O229" s="2174" t="s">
        <v>4425</v>
      </c>
      <c r="P229" s="586" t="s">
        <v>2378</v>
      </c>
      <c r="Q229" s="301"/>
      <c r="R229" s="177"/>
      <c r="S229" s="403"/>
      <c r="T229" s="525" t="s">
        <v>1336</v>
      </c>
      <c r="U229" s="525" t="s">
        <v>663</v>
      </c>
      <c r="W229" s="446" t="s">
        <v>1152</v>
      </c>
      <c r="X229" s="446" t="s">
        <v>3412</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175" t="s">
        <v>1207</v>
      </c>
      <c r="N230" s="2175" t="s">
        <v>1332</v>
      </c>
      <c r="O230" s="2174" t="s">
        <v>4426</v>
      </c>
      <c r="P230" s="586" t="s">
        <v>10</v>
      </c>
      <c r="Q230" s="301"/>
      <c r="R230" s="177"/>
      <c r="S230" s="403"/>
      <c r="T230" s="525" t="s">
        <v>2379</v>
      </c>
      <c r="U230" s="525" t="s">
        <v>2504</v>
      </c>
      <c r="W230" s="446" t="s">
        <v>1154</v>
      </c>
      <c r="X230" s="446" t="s">
        <v>3412</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175" t="s">
        <v>2617</v>
      </c>
      <c r="N231" s="2175" t="s">
        <v>1795</v>
      </c>
      <c r="O231" s="2174" t="s">
        <v>4427</v>
      </c>
      <c r="P231" s="586" t="s">
        <v>12</v>
      </c>
      <c r="Q231" s="301"/>
      <c r="R231" s="177"/>
      <c r="S231" s="403"/>
      <c r="T231" s="525" t="s">
        <v>11</v>
      </c>
      <c r="U231" s="525" t="s">
        <v>672</v>
      </c>
      <c r="W231" s="446" t="s">
        <v>2532</v>
      </c>
      <c r="X231" s="446" t="s">
        <v>3412</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175" t="s">
        <v>2617</v>
      </c>
      <c r="N232" s="2175" t="s">
        <v>1217</v>
      </c>
      <c r="O232" s="2174" t="s">
        <v>4428</v>
      </c>
      <c r="P232" s="586" t="s">
        <v>57</v>
      </c>
      <c r="Q232" s="301"/>
      <c r="R232" s="177"/>
      <c r="S232" s="403"/>
      <c r="T232" s="525" t="s">
        <v>13</v>
      </c>
      <c r="U232" s="525" t="s">
        <v>316</v>
      </c>
      <c r="W232" s="446" t="s">
        <v>459</v>
      </c>
      <c r="X232" s="446" t="s">
        <v>3412</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173" t="s">
        <v>1207</v>
      </c>
      <c r="N233" s="2173" t="s">
        <v>1217</v>
      </c>
      <c r="O233" s="2174" t="s">
        <v>4429</v>
      </c>
      <c r="P233" s="586" t="s">
        <v>59</v>
      </c>
      <c r="Q233" s="301"/>
      <c r="R233" s="177"/>
      <c r="S233" s="403"/>
      <c r="T233" s="525" t="s">
        <v>58</v>
      </c>
      <c r="U233" s="525" t="s">
        <v>2602</v>
      </c>
      <c r="W233" s="446" t="s">
        <v>303</v>
      </c>
      <c r="X233" s="446" t="s">
        <v>3412</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175" t="s">
        <v>2617</v>
      </c>
      <c r="N234" s="2175" t="s">
        <v>1709</v>
      </c>
      <c r="O234" s="2174" t="s">
        <v>4430</v>
      </c>
      <c r="P234" s="586" t="s">
        <v>61</v>
      </c>
      <c r="Q234" s="301"/>
      <c r="R234" s="177"/>
      <c r="S234" s="403"/>
      <c r="T234" s="525" t="s">
        <v>60</v>
      </c>
      <c r="U234" s="525" t="s">
        <v>359</v>
      </c>
      <c r="W234" s="446" t="s">
        <v>1839</v>
      </c>
      <c r="X234" s="446" t="s">
        <v>3412</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175" t="s">
        <v>2617</v>
      </c>
      <c r="N235" s="2175" t="s">
        <v>1342</v>
      </c>
      <c r="O235" s="2174" t="s">
        <v>4431</v>
      </c>
      <c r="P235" s="586" t="s">
        <v>353</v>
      </c>
      <c r="Q235" s="301"/>
      <c r="R235" s="177"/>
      <c r="S235" s="403"/>
      <c r="T235" s="525" t="s">
        <v>62</v>
      </c>
      <c r="U235" s="525" t="s">
        <v>122</v>
      </c>
      <c r="W235" s="446" t="s">
        <v>1841</v>
      </c>
      <c r="X235" s="446" t="s">
        <v>3412</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175" t="s">
        <v>2617</v>
      </c>
      <c r="N236" s="2175" t="s">
        <v>1342</v>
      </c>
      <c r="O236" s="2174" t="s">
        <v>4432</v>
      </c>
      <c r="P236" s="586" t="s">
        <v>355</v>
      </c>
      <c r="Q236" s="301"/>
      <c r="R236" s="177"/>
      <c r="S236" s="403"/>
      <c r="T236" s="525" t="s">
        <v>354</v>
      </c>
      <c r="U236" s="525" t="s">
        <v>2202</v>
      </c>
      <c r="W236" s="446" t="s">
        <v>1911</v>
      </c>
      <c r="X236" s="446" t="s">
        <v>3412</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175" t="s">
        <v>2617</v>
      </c>
      <c r="N237" s="2175" t="s">
        <v>1332</v>
      </c>
      <c r="O237" s="2174" t="s">
        <v>4433</v>
      </c>
      <c r="P237" s="586" t="s">
        <v>357</v>
      </c>
      <c r="Q237" s="301"/>
      <c r="R237" s="177"/>
      <c r="S237" s="403"/>
      <c r="T237" s="525" t="s">
        <v>356</v>
      </c>
      <c r="U237" s="525" t="s">
        <v>962</v>
      </c>
      <c r="W237" s="446" t="s">
        <v>2261</v>
      </c>
      <c r="X237" s="446" t="s">
        <v>3412</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173" t="s">
        <v>2617</v>
      </c>
      <c r="N238" s="2173" t="s">
        <v>1332</v>
      </c>
      <c r="O238" s="2174" t="s">
        <v>4434</v>
      </c>
      <c r="P238" s="586" t="s">
        <v>2306</v>
      </c>
      <c r="Q238" s="301"/>
      <c r="R238" s="177"/>
      <c r="S238" s="403"/>
      <c r="T238" s="525" t="s">
        <v>358</v>
      </c>
      <c r="U238" s="525" t="s">
        <v>1101</v>
      </c>
      <c r="W238" s="446" t="s">
        <v>422</v>
      </c>
      <c r="X238" s="446" t="s">
        <v>3412</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173" t="s">
        <v>2617</v>
      </c>
      <c r="N239" s="2173" t="s">
        <v>1217</v>
      </c>
      <c r="O239" s="2174" t="s">
        <v>4435</v>
      </c>
      <c r="P239" s="586" t="s">
        <v>2308</v>
      </c>
      <c r="Q239" s="301"/>
      <c r="R239" s="177"/>
      <c r="S239" s="403"/>
      <c r="T239" s="525" t="s">
        <v>636</v>
      </c>
      <c r="U239" s="525" t="s">
        <v>1465</v>
      </c>
      <c r="W239" s="446" t="s">
        <v>2298</v>
      </c>
      <c r="X239" s="446" t="s">
        <v>3412</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173" t="s">
        <v>2617</v>
      </c>
      <c r="N240" s="2173" t="s">
        <v>1709</v>
      </c>
      <c r="O240" s="2174" t="s">
        <v>4436</v>
      </c>
      <c r="P240" s="586" t="s">
        <v>2309</v>
      </c>
      <c r="Q240" s="301"/>
      <c r="R240" s="177"/>
      <c r="S240" s="403"/>
      <c r="T240" s="525" t="s">
        <v>2307</v>
      </c>
      <c r="U240" s="525" t="s">
        <v>675</v>
      </c>
      <c r="W240" s="446" t="s">
        <v>3402</v>
      </c>
      <c r="X240" s="446" t="s">
        <v>3412</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175" t="s">
        <v>2617</v>
      </c>
      <c r="N241" s="2175" t="s">
        <v>1332</v>
      </c>
      <c r="O241" s="2174" t="s">
        <v>4437</v>
      </c>
      <c r="P241" s="586" t="s">
        <v>2310</v>
      </c>
      <c r="Q241" s="301"/>
      <c r="R241" s="177"/>
      <c r="S241" s="403"/>
      <c r="T241" s="525" t="s">
        <v>1344</v>
      </c>
      <c r="U241" s="525" t="s">
        <v>673</v>
      </c>
      <c r="W241" s="446" t="s">
        <v>680</v>
      </c>
      <c r="X241" s="446" t="s">
        <v>3412</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173" t="s">
        <v>2617</v>
      </c>
      <c r="N242" s="2173" t="s">
        <v>1795</v>
      </c>
      <c r="O242" s="2174" t="s">
        <v>4438</v>
      </c>
      <c r="P242" s="586" t="s">
        <v>1571</v>
      </c>
      <c r="Q242" s="301"/>
      <c r="R242" s="177"/>
      <c r="S242" s="403"/>
      <c r="T242" s="525" t="s">
        <v>2869</v>
      </c>
      <c r="U242" s="525" t="s">
        <v>675</v>
      </c>
      <c r="W242" s="446" t="s">
        <v>2405</v>
      </c>
      <c r="X242" s="446" t="s">
        <v>3412</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175" t="s">
        <v>1207</v>
      </c>
      <c r="N243" s="2175" t="s">
        <v>1338</v>
      </c>
      <c r="O243" s="2174" t="s">
        <v>4439</v>
      </c>
      <c r="P243" s="586" t="s">
        <v>1573</v>
      </c>
      <c r="Q243" s="301"/>
      <c r="R243" s="177"/>
      <c r="S243" s="403"/>
      <c r="T243" s="525" t="s">
        <v>2311</v>
      </c>
      <c r="U243" s="525" t="s">
        <v>105</v>
      </c>
      <c r="W243" s="446" t="s">
        <v>222</v>
      </c>
      <c r="X243" s="446" t="s">
        <v>3412</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3769</v>
      </c>
      <c r="L244" s="1082" t="s">
        <v>426</v>
      </c>
      <c r="M244" s="2175" t="s">
        <v>2617</v>
      </c>
      <c r="N244" s="2175" t="s">
        <v>1342</v>
      </c>
      <c r="O244" s="2174" t="s">
        <v>4440</v>
      </c>
      <c r="P244" s="586" t="s">
        <v>1575</v>
      </c>
      <c r="Q244" s="301"/>
      <c r="R244" s="177"/>
      <c r="S244" s="403"/>
      <c r="T244" s="525" t="s">
        <v>1572</v>
      </c>
      <c r="U244" s="525" t="s">
        <v>1646</v>
      </c>
      <c r="W244" s="446" t="s">
        <v>665</v>
      </c>
      <c r="X244" s="446" t="s">
        <v>3412</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173" t="s">
        <v>2617</v>
      </c>
      <c r="N245" s="2173" t="s">
        <v>1338</v>
      </c>
      <c r="O245" s="2174" t="s">
        <v>4441</v>
      </c>
      <c r="P245" s="586" t="s">
        <v>1577</v>
      </c>
      <c r="Q245" s="301"/>
      <c r="R245" s="177"/>
      <c r="S245" s="403"/>
      <c r="T245" s="525" t="s">
        <v>2582</v>
      </c>
      <c r="U245" s="525" t="s">
        <v>634</v>
      </c>
      <c r="W245" s="446" t="s">
        <v>236</v>
      </c>
      <c r="X245" s="446" t="s">
        <v>3412</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175" t="s">
        <v>1207</v>
      </c>
      <c r="N246" s="2175" t="s">
        <v>1709</v>
      </c>
      <c r="O246" s="2174" t="s">
        <v>4442</v>
      </c>
      <c r="P246" s="586" t="s">
        <v>1579</v>
      </c>
      <c r="Q246" s="301"/>
      <c r="R246" s="177"/>
      <c r="S246" s="403"/>
      <c r="T246" s="525" t="s">
        <v>1574</v>
      </c>
      <c r="U246" s="525" t="s">
        <v>666</v>
      </c>
      <c r="W246" s="446" t="s">
        <v>666</v>
      </c>
      <c r="X246" s="446" t="s">
        <v>3412</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175" t="s">
        <v>2617</v>
      </c>
      <c r="N247" s="2175" t="s">
        <v>1217</v>
      </c>
      <c r="O247" s="2174" t="s">
        <v>4443</v>
      </c>
      <c r="P247" s="586" t="s">
        <v>1755</v>
      </c>
      <c r="Q247" s="301"/>
      <c r="R247" s="177"/>
      <c r="S247" s="403"/>
      <c r="T247" s="525" t="s">
        <v>2870</v>
      </c>
      <c r="U247" s="525" t="s">
        <v>2259</v>
      </c>
      <c r="W247" s="446" t="s">
        <v>795</v>
      </c>
      <c r="X247" s="446" t="s">
        <v>3412</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175" t="s">
        <v>2617</v>
      </c>
      <c r="N248" s="2175" t="s">
        <v>1332</v>
      </c>
      <c r="O248" s="2174" t="s">
        <v>4444</v>
      </c>
      <c r="P248" s="586" t="s">
        <v>1757</v>
      </c>
      <c r="Q248" s="301"/>
      <c r="R248" s="177"/>
      <c r="S248" s="403"/>
      <c r="T248" s="525" t="s">
        <v>1576</v>
      </c>
      <c r="U248" s="525" t="s">
        <v>165</v>
      </c>
      <c r="W248" s="446" t="s">
        <v>3403</v>
      </c>
      <c r="X248" s="446" t="s">
        <v>3412</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173" t="s">
        <v>2617</v>
      </c>
      <c r="N249" s="2173" t="s">
        <v>167</v>
      </c>
      <c r="O249" s="2174" t="s">
        <v>4445</v>
      </c>
      <c r="P249" s="586" t="s">
        <v>1759</v>
      </c>
      <c r="Q249" s="301"/>
      <c r="R249" s="177"/>
      <c r="S249" s="403"/>
      <c r="T249" s="525" t="s">
        <v>1578</v>
      </c>
      <c r="U249" s="525" t="s">
        <v>1325</v>
      </c>
      <c r="W249" s="446" t="s">
        <v>3404</v>
      </c>
      <c r="X249" s="446" t="s">
        <v>3412</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173" t="s">
        <v>2617</v>
      </c>
      <c r="N250" s="2173" t="s">
        <v>162</v>
      </c>
      <c r="O250" s="2174" t="s">
        <v>4446</v>
      </c>
      <c r="P250" s="586" t="s">
        <v>1033</v>
      </c>
      <c r="Q250" s="301"/>
      <c r="R250" s="177"/>
      <c r="S250" s="403"/>
      <c r="T250" s="525" t="s">
        <v>1580</v>
      </c>
      <c r="U250" s="525" t="s">
        <v>180</v>
      </c>
      <c r="W250" s="446" t="s">
        <v>1233</v>
      </c>
      <c r="X250" s="446" t="s">
        <v>3412</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173" t="s">
        <v>2617</v>
      </c>
      <c r="N251" s="2173" t="s">
        <v>1342</v>
      </c>
      <c r="O251" s="2174" t="s">
        <v>4447</v>
      </c>
      <c r="P251" s="586" t="s">
        <v>1034</v>
      </c>
      <c r="Q251" s="301"/>
      <c r="R251" s="177"/>
      <c r="S251" s="403"/>
      <c r="T251" s="525" t="s">
        <v>1756</v>
      </c>
      <c r="U251" s="525" t="s">
        <v>666</v>
      </c>
      <c r="W251" s="446" t="s">
        <v>686</v>
      </c>
      <c r="X251" s="446" t="s">
        <v>3412</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173" t="s">
        <v>2617</v>
      </c>
      <c r="N252" s="2173" t="s">
        <v>1338</v>
      </c>
      <c r="O252" s="2174" t="s">
        <v>4448</v>
      </c>
      <c r="P252" s="586" t="s">
        <v>238</v>
      </c>
      <c r="Q252" s="301"/>
      <c r="R252" s="177"/>
      <c r="S252" s="403"/>
      <c r="T252" s="525" t="s">
        <v>1758</v>
      </c>
      <c r="U252" s="525" t="s">
        <v>741</v>
      </c>
      <c r="W252" s="446" t="s">
        <v>673</v>
      </c>
      <c r="X252" s="446" t="s">
        <v>3412</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173" t="s">
        <v>2617</v>
      </c>
      <c r="N253" s="2173" t="s">
        <v>1217</v>
      </c>
      <c r="O253" s="2174" t="s">
        <v>4449</v>
      </c>
      <c r="P253" s="586" t="s">
        <v>240</v>
      </c>
      <c r="Q253" s="301"/>
      <c r="R253" s="177"/>
      <c r="S253" s="403"/>
      <c r="T253" s="525" t="s">
        <v>1032</v>
      </c>
      <c r="U253" s="525" t="s">
        <v>1326</v>
      </c>
      <c r="W253" s="446" t="s">
        <v>990</v>
      </c>
      <c r="X253" s="446" t="s">
        <v>3412</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175" t="s">
        <v>2617</v>
      </c>
      <c r="N254" s="2175" t="s">
        <v>1795</v>
      </c>
      <c r="O254" s="2174" t="s">
        <v>4450</v>
      </c>
      <c r="P254" s="586" t="s">
        <v>1275</v>
      </c>
      <c r="Q254" s="301"/>
      <c r="R254" s="177"/>
      <c r="S254" s="403"/>
      <c r="T254" s="525" t="s">
        <v>1035</v>
      </c>
      <c r="U254" s="525" t="s">
        <v>664</v>
      </c>
      <c r="W254" s="446" t="s">
        <v>994</v>
      </c>
      <c r="X254" s="446" t="s">
        <v>3412</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175" t="s">
        <v>2617</v>
      </c>
      <c r="N255" s="2175" t="s">
        <v>1795</v>
      </c>
      <c r="O255" s="2174" t="s">
        <v>4451</v>
      </c>
      <c r="P255" s="586" t="s">
        <v>2076</v>
      </c>
      <c r="Q255" s="301"/>
      <c r="R255" s="177"/>
      <c r="S255" s="403"/>
      <c r="T255" s="525" t="s">
        <v>239</v>
      </c>
      <c r="U255" s="525" t="s">
        <v>2547</v>
      </c>
      <c r="W255" s="446" t="s">
        <v>996</v>
      </c>
      <c r="X255" s="446" t="s">
        <v>3412</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173" t="s">
        <v>2617</v>
      </c>
      <c r="N256" s="2173" t="s">
        <v>1217</v>
      </c>
      <c r="O256" s="2174" t="s">
        <v>4452</v>
      </c>
      <c r="P256" s="586" t="s">
        <v>2078</v>
      </c>
      <c r="Q256" s="301"/>
      <c r="R256" s="177"/>
      <c r="S256" s="403"/>
      <c r="T256" s="525" t="s">
        <v>2871</v>
      </c>
      <c r="U256" s="525" t="s">
        <v>883</v>
      </c>
      <c r="W256" s="446" t="s">
        <v>579</v>
      </c>
      <c r="X256" s="446" t="s">
        <v>3412</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175" t="s">
        <v>2617</v>
      </c>
      <c r="N257" s="2175" t="s">
        <v>1338</v>
      </c>
      <c r="O257" s="2174" t="s">
        <v>4453</v>
      </c>
      <c r="P257" s="586" t="s">
        <v>2080</v>
      </c>
      <c r="Q257" s="301"/>
      <c r="R257" s="177"/>
      <c r="S257" s="403"/>
      <c r="T257" s="292" t="s">
        <v>1771</v>
      </c>
      <c r="U257" s="292" t="s">
        <v>1107</v>
      </c>
      <c r="W257" s="446" t="s">
        <v>374</v>
      </c>
      <c r="X257" s="446" t="s">
        <v>3412</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3768</v>
      </c>
      <c r="L258" s="1082" t="s">
        <v>426</v>
      </c>
      <c r="M258" s="2175" t="s">
        <v>2617</v>
      </c>
      <c r="N258" s="2175" t="s">
        <v>1217</v>
      </c>
      <c r="O258" s="2174" t="s">
        <v>4454</v>
      </c>
      <c r="P258" s="586" t="s">
        <v>2082</v>
      </c>
      <c r="Q258" s="301"/>
      <c r="R258" s="177"/>
      <c r="S258" s="403"/>
      <c r="T258" s="525" t="s">
        <v>2077</v>
      </c>
      <c r="U258" s="525" t="s">
        <v>322</v>
      </c>
      <c r="W258" s="446" t="s">
        <v>1607</v>
      </c>
      <c r="X258" s="446" t="s">
        <v>3412</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173" t="s">
        <v>2617</v>
      </c>
      <c r="N259" s="2173" t="s">
        <v>1217</v>
      </c>
      <c r="O259" s="2174" t="s">
        <v>4455</v>
      </c>
      <c r="P259" s="586" t="s">
        <v>2084</v>
      </c>
      <c r="Q259" s="301"/>
      <c r="R259" s="177"/>
      <c r="S259" s="403"/>
      <c r="T259" s="525" t="s">
        <v>2079</v>
      </c>
      <c r="U259" s="525" t="s">
        <v>320</v>
      </c>
      <c r="W259" s="446" t="s">
        <v>1018</v>
      </c>
      <c r="X259" s="446" t="s">
        <v>3412</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175" t="s">
        <v>1207</v>
      </c>
      <c r="N260" s="2175" t="s">
        <v>162</v>
      </c>
      <c r="O260" s="2174" t="s">
        <v>4456</v>
      </c>
      <c r="P260" s="586" t="s">
        <v>2086</v>
      </c>
      <c r="Q260" s="301"/>
      <c r="R260" s="177"/>
      <c r="S260" s="403"/>
      <c r="T260" s="525" t="s">
        <v>2081</v>
      </c>
      <c r="U260" s="525" t="s">
        <v>634</v>
      </c>
      <c r="W260" s="446" t="s">
        <v>1020</v>
      </c>
      <c r="X260" s="446" t="s">
        <v>3412</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173" t="s">
        <v>1207</v>
      </c>
      <c r="N261" s="2173" t="s">
        <v>1217</v>
      </c>
      <c r="O261" s="2174" t="s">
        <v>4457</v>
      </c>
      <c r="P261" s="586" t="s">
        <v>681</v>
      </c>
      <c r="Q261" s="301"/>
      <c r="R261" s="177"/>
      <c r="S261" s="403"/>
      <c r="T261" s="525" t="s">
        <v>2083</v>
      </c>
      <c r="U261" s="525" t="s">
        <v>2604</v>
      </c>
      <c r="W261" s="446" t="s">
        <v>1692</v>
      </c>
      <c r="X261" s="446" t="s">
        <v>3412</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173" t="s">
        <v>2617</v>
      </c>
      <c r="N262" s="2173" t="s">
        <v>167</v>
      </c>
      <c r="O262" s="2174" t="s">
        <v>4458</v>
      </c>
      <c r="P262" s="586" t="s">
        <v>2345</v>
      </c>
      <c r="Q262" s="301"/>
      <c r="R262" s="177"/>
      <c r="S262" s="403"/>
      <c r="T262" s="525" t="s">
        <v>695</v>
      </c>
      <c r="U262" s="525" t="s">
        <v>1218</v>
      </c>
      <c r="W262" s="446" t="s">
        <v>874</v>
      </c>
      <c r="X262" s="446" t="s">
        <v>3412</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173" t="s">
        <v>2617</v>
      </c>
      <c r="N263" s="2173" t="s">
        <v>167</v>
      </c>
      <c r="O263" s="2174" t="s">
        <v>4459</v>
      </c>
      <c r="P263" s="586" t="s">
        <v>2346</v>
      </c>
      <c r="Q263" s="301"/>
      <c r="R263" s="177"/>
      <c r="S263" s="403"/>
      <c r="T263" s="525" t="s">
        <v>2583</v>
      </c>
      <c r="U263" s="525" t="s">
        <v>2024</v>
      </c>
      <c r="W263" s="446" t="s">
        <v>1753</v>
      </c>
      <c r="X263" s="446" t="s">
        <v>3412</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173" t="s">
        <v>1207</v>
      </c>
      <c r="N264" s="2173" t="s">
        <v>1217</v>
      </c>
      <c r="O264" s="2174" t="s">
        <v>4460</v>
      </c>
      <c r="P264" s="586" t="s">
        <v>1258</v>
      </c>
      <c r="Q264" s="301"/>
      <c r="R264" s="177"/>
      <c r="S264" s="403"/>
      <c r="T264" s="525" t="s">
        <v>2085</v>
      </c>
      <c r="U264" s="525" t="s">
        <v>201</v>
      </c>
      <c r="W264" s="446" t="s">
        <v>637</v>
      </c>
      <c r="X264" s="446" t="s">
        <v>3412</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175" t="s">
        <v>2617</v>
      </c>
      <c r="N265" s="2175" t="s">
        <v>1332</v>
      </c>
      <c r="O265" s="2174" t="s">
        <v>4461</v>
      </c>
      <c r="P265" s="586" t="s">
        <v>1260</v>
      </c>
      <c r="Q265" s="301"/>
      <c r="R265" s="177"/>
      <c r="S265" s="403"/>
      <c r="T265" s="525" t="s">
        <v>2872</v>
      </c>
      <c r="U265" s="525" t="s">
        <v>668</v>
      </c>
      <c r="W265" s="446" t="s">
        <v>2305</v>
      </c>
      <c r="X265" s="446" t="s">
        <v>3412</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173" t="s">
        <v>1207</v>
      </c>
      <c r="N266" s="2173" t="s">
        <v>1217</v>
      </c>
      <c r="O266" s="2174" t="s">
        <v>4462</v>
      </c>
      <c r="P266" s="586" t="s">
        <v>1262</v>
      </c>
      <c r="Q266" s="301"/>
      <c r="R266" s="177"/>
      <c r="S266" s="403"/>
      <c r="T266" s="525" t="s">
        <v>2087</v>
      </c>
      <c r="U266" s="525" t="s">
        <v>201</v>
      </c>
      <c r="W266" s="446" t="s">
        <v>1043</v>
      </c>
      <c r="X266" s="446" t="s">
        <v>3412</v>
      </c>
      <c r="AA266" s="28"/>
      <c r="AB266" s="28"/>
      <c r="AC266" s="997"/>
      <c r="AD266" s="536"/>
    </row>
    <row r="267" spans="2:30" ht="10.5" customHeight="1">
      <c r="F267" s="587"/>
      <c r="G267" s="1079" t="s">
        <v>1104</v>
      </c>
      <c r="H267" s="1079" t="s">
        <v>1223</v>
      </c>
      <c r="I267" s="1080" t="s">
        <v>1105</v>
      </c>
      <c r="J267" s="1080" t="s">
        <v>2630</v>
      </c>
      <c r="K267" s="1081" t="s">
        <v>1970</v>
      </c>
      <c r="L267" s="1082" t="s">
        <v>425</v>
      </c>
      <c r="M267" s="2175" t="s">
        <v>2617</v>
      </c>
      <c r="N267" s="2175" t="s">
        <v>1709</v>
      </c>
      <c r="O267" s="2174" t="s">
        <v>4463</v>
      </c>
      <c r="P267" s="586" t="s">
        <v>1263</v>
      </c>
      <c r="Q267" s="301"/>
      <c r="R267" s="177"/>
      <c r="S267" s="403"/>
      <c r="T267" s="525" t="s">
        <v>682</v>
      </c>
      <c r="U267" s="525" t="s">
        <v>2024</v>
      </c>
      <c r="W267" s="446" t="s">
        <v>1960</v>
      </c>
      <c r="X267" s="446" t="s">
        <v>3412</v>
      </c>
      <c r="AA267" s="28"/>
      <c r="AB267" s="28"/>
      <c r="AC267" s="997"/>
      <c r="AD267" s="536"/>
    </row>
    <row r="268" spans="2:30" ht="10.5" customHeight="1">
      <c r="F268" s="587"/>
      <c r="G268" s="1079" t="s">
        <v>1106</v>
      </c>
      <c r="H268" s="1079" t="s">
        <v>1323</v>
      </c>
      <c r="I268" s="1083" t="s">
        <v>772</v>
      </c>
      <c r="J268" s="1083" t="s">
        <v>2631</v>
      </c>
      <c r="K268" s="1081" t="s">
        <v>2594</v>
      </c>
      <c r="L268" s="1082" t="s">
        <v>426</v>
      </c>
      <c r="M268" s="2173" t="s">
        <v>1207</v>
      </c>
      <c r="N268" s="2173" t="s">
        <v>1217</v>
      </c>
      <c r="O268" s="2174" t="s">
        <v>4464</v>
      </c>
      <c r="P268" s="586" t="s">
        <v>1265</v>
      </c>
      <c r="Q268" s="301"/>
      <c r="R268" s="177"/>
      <c r="S268" s="403"/>
      <c r="T268" s="525" t="s">
        <v>2347</v>
      </c>
      <c r="U268" s="525" t="s">
        <v>123</v>
      </c>
      <c r="W268" s="446" t="s">
        <v>497</v>
      </c>
      <c r="X268" s="446" t="s">
        <v>3412</v>
      </c>
      <c r="AA268" s="28"/>
      <c r="AB268" s="28"/>
      <c r="AC268" s="997"/>
      <c r="AD268" s="536"/>
    </row>
    <row r="269" spans="2:30" ht="10.5" customHeight="1">
      <c r="F269" s="587"/>
      <c r="G269" s="1079" t="s">
        <v>1107</v>
      </c>
      <c r="H269" s="1079" t="s">
        <v>1323</v>
      </c>
      <c r="I269" s="1080" t="s">
        <v>1108</v>
      </c>
      <c r="J269" s="1080" t="s">
        <v>2630</v>
      </c>
      <c r="K269" s="1081" t="s">
        <v>1971</v>
      </c>
      <c r="L269" s="1082" t="s">
        <v>425</v>
      </c>
      <c r="M269" s="2175" t="s">
        <v>2617</v>
      </c>
      <c r="N269" s="2175" t="s">
        <v>1217</v>
      </c>
      <c r="O269" s="2174" t="s">
        <v>4465</v>
      </c>
      <c r="P269" s="586" t="s">
        <v>2511</v>
      </c>
      <c r="Q269" s="301"/>
      <c r="R269" s="177"/>
      <c r="S269" s="403"/>
      <c r="T269" s="525" t="s">
        <v>1259</v>
      </c>
      <c r="U269" s="525" t="s">
        <v>634</v>
      </c>
      <c r="W269" s="446" t="s">
        <v>1659</v>
      </c>
      <c r="X269" s="446" t="s">
        <v>3412</v>
      </c>
      <c r="AA269" s="28"/>
      <c r="AB269" s="28"/>
      <c r="AC269" s="997"/>
      <c r="AD269" s="536"/>
    </row>
    <row r="270" spans="2:30" ht="10.5" customHeight="1">
      <c r="F270" s="587"/>
      <c r="G270" s="1079" t="s">
        <v>1109</v>
      </c>
      <c r="H270" s="1079" t="s">
        <v>1223</v>
      </c>
      <c r="I270" s="1083" t="s">
        <v>1110</v>
      </c>
      <c r="J270" s="1083" t="s">
        <v>2630</v>
      </c>
      <c r="K270" s="1081" t="s">
        <v>1972</v>
      </c>
      <c r="L270" s="1082" t="s">
        <v>425</v>
      </c>
      <c r="M270" s="2175" t="s">
        <v>2617</v>
      </c>
      <c r="N270" s="2175" t="s">
        <v>1332</v>
      </c>
      <c r="O270" s="2174" t="s">
        <v>4466</v>
      </c>
      <c r="P270" s="586" t="s">
        <v>83</v>
      </c>
      <c r="Q270" s="301"/>
      <c r="R270" s="177"/>
      <c r="S270" s="403"/>
      <c r="T270" s="525" t="s">
        <v>1261</v>
      </c>
      <c r="U270" s="525" t="s">
        <v>2261</v>
      </c>
      <c r="W270" s="446" t="s">
        <v>952</v>
      </c>
      <c r="X270" s="446" t="s">
        <v>3412</v>
      </c>
      <c r="AA270" s="28"/>
      <c r="AB270" s="28"/>
      <c r="AC270" s="997"/>
      <c r="AD270" s="536"/>
    </row>
    <row r="271" spans="2:30" ht="10.5" customHeight="1">
      <c r="F271" s="587"/>
      <c r="G271" s="1079" t="s">
        <v>1111</v>
      </c>
      <c r="H271" s="1079" t="s">
        <v>1323</v>
      </c>
      <c r="I271" s="1083" t="s">
        <v>1112</v>
      </c>
      <c r="J271" s="1083" t="s">
        <v>2630</v>
      </c>
      <c r="K271" s="1081" t="s">
        <v>1973</v>
      </c>
      <c r="L271" s="1082" t="s">
        <v>425</v>
      </c>
      <c r="M271" s="2175" t="s">
        <v>2617</v>
      </c>
      <c r="N271" s="2175" t="s">
        <v>1217</v>
      </c>
      <c r="O271" s="2174" t="s">
        <v>4467</v>
      </c>
      <c r="P271" s="586" t="s">
        <v>84</v>
      </c>
      <c r="Q271" s="301"/>
      <c r="R271" s="177"/>
      <c r="S271" s="403"/>
      <c r="T271" s="525" t="s">
        <v>2500</v>
      </c>
      <c r="U271" s="525" t="s">
        <v>1115</v>
      </c>
      <c r="W271" s="446" t="s">
        <v>2324</v>
      </c>
      <c r="X271" s="446" t="s">
        <v>3412</v>
      </c>
      <c r="AA271" s="28"/>
      <c r="AB271" s="28"/>
      <c r="AC271" s="997"/>
      <c r="AD271" s="536"/>
    </row>
    <row r="272" spans="2:30" ht="10.5" customHeight="1">
      <c r="F272" s="587"/>
      <c r="G272" s="1079" t="s">
        <v>1113</v>
      </c>
      <c r="H272" s="1079" t="s">
        <v>1223</v>
      </c>
      <c r="I272" s="1080" t="s">
        <v>1114</v>
      </c>
      <c r="J272" s="1080" t="s">
        <v>2630</v>
      </c>
      <c r="K272" s="1081" t="s">
        <v>1797</v>
      </c>
      <c r="L272" s="1082" t="s">
        <v>425</v>
      </c>
      <c r="M272" s="2175" t="s">
        <v>2617</v>
      </c>
      <c r="N272" s="2175" t="s">
        <v>162</v>
      </c>
      <c r="O272" s="2174" t="s">
        <v>4468</v>
      </c>
      <c r="P272" s="586" t="s">
        <v>85</v>
      </c>
      <c r="Q272" s="301"/>
      <c r="R272" s="177"/>
      <c r="S272" s="403"/>
      <c r="T272" s="525" t="s">
        <v>1264</v>
      </c>
      <c r="U272" s="525" t="s">
        <v>313</v>
      </c>
      <c r="W272" s="446" t="s">
        <v>325</v>
      </c>
      <c r="X272" s="446" t="s">
        <v>3412</v>
      </c>
      <c r="AA272" s="28"/>
      <c r="AB272" s="28"/>
      <c r="AC272" s="997"/>
      <c r="AD272" s="536"/>
    </row>
    <row r="273" spans="6:30" ht="10.5" customHeight="1">
      <c r="F273" s="587"/>
      <c r="G273" s="1079" t="s">
        <v>1115</v>
      </c>
      <c r="H273" s="1079" t="s">
        <v>1323</v>
      </c>
      <c r="I273" s="1080" t="s">
        <v>1116</v>
      </c>
      <c r="J273" s="1080" t="s">
        <v>2630</v>
      </c>
      <c r="K273" s="1081" t="s">
        <v>1798</v>
      </c>
      <c r="L273" s="1082" t="s">
        <v>425</v>
      </c>
      <c r="M273" s="2175" t="s">
        <v>2617</v>
      </c>
      <c r="N273" s="2175" t="s">
        <v>167</v>
      </c>
      <c r="O273" s="2174" t="s">
        <v>4469</v>
      </c>
      <c r="P273" s="586" t="s">
        <v>87</v>
      </c>
      <c r="Q273" s="301"/>
      <c r="R273" s="177"/>
      <c r="S273" s="403"/>
      <c r="T273" s="525" t="s">
        <v>2510</v>
      </c>
      <c r="U273" s="525" t="s">
        <v>115</v>
      </c>
      <c r="W273" s="446" t="s">
        <v>327</v>
      </c>
      <c r="X273" s="446" t="s">
        <v>3412</v>
      </c>
      <c r="AA273" s="28"/>
      <c r="AB273" s="28"/>
      <c r="AC273" s="997"/>
      <c r="AD273" s="536"/>
    </row>
    <row r="274" spans="6:30" ht="10.5" customHeight="1">
      <c r="F274" s="587"/>
      <c r="G274" s="1079" t="s">
        <v>1117</v>
      </c>
      <c r="H274" s="1079" t="s">
        <v>1223</v>
      </c>
      <c r="I274" s="1080" t="s">
        <v>1118</v>
      </c>
      <c r="J274" s="1080" t="s">
        <v>2630</v>
      </c>
      <c r="K274" s="1081" t="s">
        <v>1799</v>
      </c>
      <c r="L274" s="1082" t="s">
        <v>425</v>
      </c>
      <c r="M274" s="2175" t="s">
        <v>2617</v>
      </c>
      <c r="N274" s="2175" t="s">
        <v>1795</v>
      </c>
      <c r="O274" s="2174" t="s">
        <v>4470</v>
      </c>
      <c r="P274" s="586" t="s">
        <v>1239</v>
      </c>
      <c r="Q274" s="301"/>
      <c r="R274" s="177"/>
      <c r="S274" s="403"/>
      <c r="T274" s="525" t="s">
        <v>82</v>
      </c>
      <c r="U274" s="525" t="s">
        <v>198</v>
      </c>
      <c r="W274" s="446" t="s">
        <v>330</v>
      </c>
      <c r="X274" s="446" t="s">
        <v>3412</v>
      </c>
      <c r="AA274" s="28"/>
      <c r="AB274" s="28"/>
      <c r="AC274" s="997"/>
      <c r="AD274" s="536"/>
    </row>
    <row r="275" spans="6:30" ht="10.5" customHeight="1">
      <c r="F275" s="587"/>
      <c r="G275" s="1079" t="s">
        <v>1119</v>
      </c>
      <c r="H275" s="1079" t="s">
        <v>1809</v>
      </c>
      <c r="I275" s="1083" t="s">
        <v>773</v>
      </c>
      <c r="J275" s="1083" t="s">
        <v>2631</v>
      </c>
      <c r="K275" s="1081" t="s">
        <v>2616</v>
      </c>
      <c r="L275" s="1082" t="s">
        <v>426</v>
      </c>
      <c r="M275" s="2175" t="s">
        <v>1207</v>
      </c>
      <c r="N275" s="2175" t="s">
        <v>1342</v>
      </c>
      <c r="O275" s="2174" t="s">
        <v>4471</v>
      </c>
      <c r="P275" s="586" t="s">
        <v>1241</v>
      </c>
      <c r="Q275" s="301"/>
      <c r="R275" s="177"/>
      <c r="S275" s="403"/>
      <c r="T275" s="525" t="s">
        <v>86</v>
      </c>
      <c r="U275" s="525" t="s">
        <v>2200</v>
      </c>
      <c r="W275" s="446" t="s">
        <v>1769</v>
      </c>
      <c r="X275" s="446" t="s">
        <v>3412</v>
      </c>
      <c r="AA275" s="28"/>
      <c r="AB275" s="28"/>
      <c r="AC275" s="997"/>
      <c r="AD275" s="536"/>
    </row>
    <row r="276" spans="6:30" ht="10.5" customHeight="1">
      <c r="F276" s="587"/>
      <c r="G276" s="1079" t="s">
        <v>1120</v>
      </c>
      <c r="H276" s="1079" t="s">
        <v>1323</v>
      </c>
      <c r="I276" s="1083" t="s">
        <v>772</v>
      </c>
      <c r="J276" s="1083" t="s">
        <v>2631</v>
      </c>
      <c r="K276" s="1081" t="s">
        <v>2594</v>
      </c>
      <c r="L276" s="1082" t="s">
        <v>426</v>
      </c>
      <c r="M276" s="2173" t="s">
        <v>1207</v>
      </c>
      <c r="N276" s="2173" t="s">
        <v>1217</v>
      </c>
      <c r="O276" s="2174" t="s">
        <v>4472</v>
      </c>
      <c r="P276" s="586" t="s">
        <v>1243</v>
      </c>
      <c r="Q276" s="301"/>
      <c r="R276" s="177"/>
      <c r="S276" s="403"/>
      <c r="T276" s="525" t="s">
        <v>88</v>
      </c>
      <c r="U276" s="525" t="s">
        <v>1333</v>
      </c>
      <c r="W276" s="446" t="s">
        <v>698</v>
      </c>
      <c r="X276" s="446" t="s">
        <v>3412</v>
      </c>
      <c r="AA276" s="28"/>
      <c r="AB276" s="28"/>
      <c r="AC276" s="997"/>
      <c r="AD276" s="536"/>
    </row>
    <row r="277" spans="6:30" ht="10.5" customHeight="1">
      <c r="F277" s="587"/>
      <c r="G277" s="1079" t="s">
        <v>1121</v>
      </c>
      <c r="H277" s="1079" t="s">
        <v>1323</v>
      </c>
      <c r="I277" s="1080" t="s">
        <v>2184</v>
      </c>
      <c r="J277" s="1080" t="s">
        <v>2630</v>
      </c>
      <c r="K277" s="1081" t="s">
        <v>1800</v>
      </c>
      <c r="L277" s="1082" t="s">
        <v>425</v>
      </c>
      <c r="M277" s="2175" t="s">
        <v>2617</v>
      </c>
      <c r="N277" s="2175" t="s">
        <v>162</v>
      </c>
      <c r="O277" s="2174" t="s">
        <v>4473</v>
      </c>
      <c r="P277" s="586" t="s">
        <v>1245</v>
      </c>
      <c r="Q277" s="301"/>
      <c r="R277" s="177"/>
      <c r="S277" s="403"/>
      <c r="T277" s="525" t="s">
        <v>1240</v>
      </c>
      <c r="U277" s="525" t="s">
        <v>1966</v>
      </c>
      <c r="W277" s="446" t="s">
        <v>2370</v>
      </c>
      <c r="X277" s="446" t="s">
        <v>3412</v>
      </c>
      <c r="AA277" s="28"/>
      <c r="AB277" s="28"/>
      <c r="AC277" s="997"/>
      <c r="AD277" s="536"/>
    </row>
    <row r="278" spans="6:30" ht="10.5" customHeight="1">
      <c r="F278" s="587"/>
      <c r="G278" s="1079" t="s">
        <v>2185</v>
      </c>
      <c r="H278" s="1079" t="s">
        <v>1223</v>
      </c>
      <c r="I278" s="1080" t="s">
        <v>2186</v>
      </c>
      <c r="J278" s="1080" t="s">
        <v>2630</v>
      </c>
      <c r="K278" s="1081" t="s">
        <v>1801</v>
      </c>
      <c r="L278" s="1082" t="s">
        <v>425</v>
      </c>
      <c r="M278" s="2175" t="s">
        <v>2617</v>
      </c>
      <c r="N278" s="2175" t="s">
        <v>1338</v>
      </c>
      <c r="O278" s="2174" t="s">
        <v>4474</v>
      </c>
      <c r="P278" s="586" t="s">
        <v>1247</v>
      </c>
      <c r="Q278" s="301"/>
      <c r="R278" s="177"/>
      <c r="S278" s="403"/>
      <c r="T278" s="525" t="s">
        <v>1242</v>
      </c>
      <c r="U278" s="525" t="s">
        <v>180</v>
      </c>
      <c r="W278" s="446" t="s">
        <v>479</v>
      </c>
      <c r="X278" s="446" t="s">
        <v>3412</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4475</v>
      </c>
      <c r="P279" s="586" t="s">
        <v>1249</v>
      </c>
      <c r="Q279" s="301"/>
      <c r="R279" s="177"/>
      <c r="S279" s="403"/>
      <c r="T279" s="525" t="s">
        <v>1244</v>
      </c>
      <c r="U279" s="525" t="s">
        <v>1117</v>
      </c>
      <c r="W279" s="446" t="s">
        <v>3405</v>
      </c>
      <c r="X279" s="446" t="s">
        <v>3412</v>
      </c>
      <c r="AA279" s="28"/>
      <c r="AB279" s="28"/>
      <c r="AC279" s="997"/>
      <c r="AD279" s="536"/>
    </row>
    <row r="280" spans="6:30" ht="10.5" customHeight="1">
      <c r="F280" s="587"/>
      <c r="G280" s="1079" t="s">
        <v>2187</v>
      </c>
      <c r="H280" s="1079" t="s">
        <v>1223</v>
      </c>
      <c r="I280" s="1083" t="s">
        <v>2188</v>
      </c>
      <c r="J280" s="1080" t="s">
        <v>2630</v>
      </c>
      <c r="K280" s="1081" t="s">
        <v>460</v>
      </c>
      <c r="L280" s="1082" t="s">
        <v>425</v>
      </c>
      <c r="M280" s="2175" t="s">
        <v>2617</v>
      </c>
      <c r="N280" s="2175" t="s">
        <v>1795</v>
      </c>
      <c r="O280" s="2174" t="s">
        <v>4476</v>
      </c>
      <c r="P280" s="586" t="s">
        <v>900</v>
      </c>
      <c r="Q280" s="301"/>
      <c r="R280" s="177"/>
      <c r="S280" s="403"/>
      <c r="T280" s="292" t="s">
        <v>1246</v>
      </c>
      <c r="U280" s="292" t="s">
        <v>1218</v>
      </c>
      <c r="W280" s="446" t="s">
        <v>3406</v>
      </c>
      <c r="X280" s="446" t="s">
        <v>3412</v>
      </c>
      <c r="AA280" s="28"/>
      <c r="AB280" s="28"/>
      <c r="AC280" s="997"/>
      <c r="AD280" s="536"/>
    </row>
    <row r="281" spans="6:30" ht="10.5" customHeight="1">
      <c r="F281" s="587"/>
      <c r="G281" s="1079" t="s">
        <v>2189</v>
      </c>
      <c r="H281" s="1079" t="s">
        <v>1323</v>
      </c>
      <c r="I281" s="1083" t="s">
        <v>772</v>
      </c>
      <c r="J281" s="1083" t="s">
        <v>2631</v>
      </c>
      <c r="K281" s="1081" t="s">
        <v>2594</v>
      </c>
      <c r="L281" s="1082" t="s">
        <v>426</v>
      </c>
      <c r="M281" s="2173" t="s">
        <v>1207</v>
      </c>
      <c r="N281" s="2175" t="s">
        <v>1217</v>
      </c>
      <c r="O281" s="2174" t="s">
        <v>4477</v>
      </c>
      <c r="P281" s="586" t="s">
        <v>901</v>
      </c>
      <c r="Q281" s="301"/>
      <c r="R281" s="177"/>
      <c r="S281" s="403"/>
      <c r="T281" s="525" t="s">
        <v>1248</v>
      </c>
      <c r="U281" s="525" t="s">
        <v>2200</v>
      </c>
      <c r="W281" s="446" t="s">
        <v>79</v>
      </c>
      <c r="X281" s="446" t="s">
        <v>3412</v>
      </c>
      <c r="AA281" s="28"/>
      <c r="AB281" s="28"/>
      <c r="AC281" s="536"/>
      <c r="AD281" s="536"/>
    </row>
    <row r="282" spans="6:30" ht="10.5" customHeight="1">
      <c r="F282" s="587"/>
      <c r="G282" s="1079" t="s">
        <v>2190</v>
      </c>
      <c r="H282" s="1079" t="s">
        <v>1323</v>
      </c>
      <c r="I282" s="1083" t="s">
        <v>2191</v>
      </c>
      <c r="J282" s="1083" t="s">
        <v>2630</v>
      </c>
      <c r="K282" s="1081" t="s">
        <v>223</v>
      </c>
      <c r="L282" s="1082" t="s">
        <v>425</v>
      </c>
      <c r="M282" s="2175" t="s">
        <v>2617</v>
      </c>
      <c r="N282" s="2173" t="s">
        <v>167</v>
      </c>
      <c r="O282" s="2174" t="s">
        <v>4478</v>
      </c>
      <c r="P282" s="586" t="s">
        <v>903</v>
      </c>
      <c r="Q282" s="301"/>
      <c r="R282" s="177"/>
      <c r="S282" s="403"/>
      <c r="T282" s="525" t="s">
        <v>2506</v>
      </c>
      <c r="U282" s="525" t="s">
        <v>1644</v>
      </c>
      <c r="W282" s="446" t="s">
        <v>2430</v>
      </c>
      <c r="X282" s="446" t="s">
        <v>3412</v>
      </c>
      <c r="AA282" s="28"/>
      <c r="AB282" s="28"/>
      <c r="AC282" s="997"/>
      <c r="AD282" s="536"/>
    </row>
    <row r="283" spans="6:30" ht="10.5" customHeight="1">
      <c r="F283" s="587"/>
      <c r="G283" s="1079" t="s">
        <v>2192</v>
      </c>
      <c r="H283" s="1079" t="s">
        <v>1223</v>
      </c>
      <c r="I283" s="1080" t="s">
        <v>2193</v>
      </c>
      <c r="J283" s="1083" t="s">
        <v>2630</v>
      </c>
      <c r="K283" s="1081" t="s">
        <v>1433</v>
      </c>
      <c r="L283" s="1082" t="s">
        <v>425</v>
      </c>
      <c r="M283" s="2175" t="s">
        <v>2617</v>
      </c>
      <c r="N283" s="2175" t="s">
        <v>162</v>
      </c>
      <c r="O283" s="2174" t="s">
        <v>4479</v>
      </c>
      <c r="P283" s="586" t="s">
        <v>905</v>
      </c>
      <c r="Q283" s="301"/>
      <c r="R283" s="177"/>
      <c r="S283" s="403"/>
      <c r="T283" s="525" t="s">
        <v>162</v>
      </c>
      <c r="U283" s="525" t="s">
        <v>2606</v>
      </c>
      <c r="W283" s="446" t="s">
        <v>619</v>
      </c>
      <c r="X283" s="446" t="s">
        <v>3412</v>
      </c>
      <c r="AA283" s="28"/>
      <c r="AB283" s="28"/>
      <c r="AC283" s="997"/>
      <c r="AD283" s="536"/>
    </row>
    <row r="284" spans="6:30" ht="10.5" customHeight="1">
      <c r="F284" s="587"/>
      <c r="G284" s="1079" t="s">
        <v>2194</v>
      </c>
      <c r="H284" s="1079" t="s">
        <v>1223</v>
      </c>
      <c r="I284" s="1080" t="s">
        <v>2195</v>
      </c>
      <c r="J284" s="1080" t="s">
        <v>2630</v>
      </c>
      <c r="K284" s="1081" t="s">
        <v>1434</v>
      </c>
      <c r="L284" s="1082" t="s">
        <v>425</v>
      </c>
      <c r="M284" s="2175" t="s">
        <v>2617</v>
      </c>
      <c r="N284" s="2175" t="s">
        <v>1795</v>
      </c>
      <c r="O284" s="2174" t="s">
        <v>4480</v>
      </c>
      <c r="P284" s="586" t="s">
        <v>2155</v>
      </c>
      <c r="Q284" s="301"/>
      <c r="R284" s="177"/>
      <c r="S284" s="403"/>
      <c r="T284" s="525" t="s">
        <v>902</v>
      </c>
      <c r="U284" s="525" t="s">
        <v>180</v>
      </c>
      <c r="W284" s="446" t="s">
        <v>976</v>
      </c>
      <c r="X284" s="446" t="s">
        <v>3412</v>
      </c>
      <c r="AA284" s="28"/>
      <c r="AB284" s="28"/>
      <c r="AC284" s="997"/>
      <c r="AD284" s="536"/>
    </row>
    <row r="285" spans="6:30" ht="10.5" customHeight="1">
      <c r="F285" s="587"/>
      <c r="G285" s="1079" t="s">
        <v>2196</v>
      </c>
      <c r="H285" s="1079" t="s">
        <v>1323</v>
      </c>
      <c r="I285" s="1080" t="s">
        <v>2197</v>
      </c>
      <c r="J285" s="1080" t="s">
        <v>2630</v>
      </c>
      <c r="K285" s="1081" t="s">
        <v>1435</v>
      </c>
      <c r="L285" s="1082" t="s">
        <v>425</v>
      </c>
      <c r="M285" s="2175" t="s">
        <v>2617</v>
      </c>
      <c r="N285" s="2175" t="s">
        <v>162</v>
      </c>
      <c r="O285" s="2174" t="s">
        <v>4481</v>
      </c>
      <c r="P285" s="586" t="s">
        <v>2156</v>
      </c>
      <c r="Q285" s="301"/>
      <c r="R285" s="177"/>
      <c r="S285" s="403"/>
      <c r="T285" s="525" t="s">
        <v>904</v>
      </c>
      <c r="U285" s="525" t="s">
        <v>325</v>
      </c>
      <c r="W285" s="446" t="s">
        <v>1504</v>
      </c>
      <c r="X285" s="446" t="s">
        <v>3412</v>
      </c>
      <c r="AA285" s="28"/>
      <c r="AB285" s="28"/>
      <c r="AC285" s="997"/>
      <c r="AD285" s="536"/>
    </row>
    <row r="286" spans="6:30" ht="10.5" customHeight="1">
      <c r="F286" s="587"/>
      <c r="G286" s="1079" t="s">
        <v>2198</v>
      </c>
      <c r="H286" s="1079" t="s">
        <v>1323</v>
      </c>
      <c r="I286" s="1080" t="s">
        <v>2199</v>
      </c>
      <c r="J286" s="1080" t="s">
        <v>2630</v>
      </c>
      <c r="K286" s="1081" t="s">
        <v>2029</v>
      </c>
      <c r="L286" s="1082" t="s">
        <v>425</v>
      </c>
      <c r="M286" s="2175" t="s">
        <v>2617</v>
      </c>
      <c r="N286" s="2175" t="s">
        <v>167</v>
      </c>
      <c r="O286" s="2174" t="s">
        <v>4482</v>
      </c>
      <c r="P286" s="586" t="s">
        <v>2072</v>
      </c>
      <c r="Q286" s="301"/>
      <c r="R286" s="177"/>
      <c r="S286" s="403"/>
      <c r="T286" s="292" t="s">
        <v>906</v>
      </c>
      <c r="U286" s="292" t="s">
        <v>1106</v>
      </c>
      <c r="W286" s="446" t="s">
        <v>2354</v>
      </c>
      <c r="X286" s="446" t="s">
        <v>3412</v>
      </c>
      <c r="AA286" s="28"/>
      <c r="AB286" s="28"/>
      <c r="AC286" s="997"/>
      <c r="AD286" s="536"/>
    </row>
    <row r="287" spans="6:30" ht="10.5" customHeight="1">
      <c r="F287" s="587"/>
      <c r="G287" s="1079" t="s">
        <v>2200</v>
      </c>
      <c r="H287" s="1079" t="s">
        <v>1223</v>
      </c>
      <c r="I287" s="1080" t="s">
        <v>2201</v>
      </c>
      <c r="J287" s="1080" t="s">
        <v>2630</v>
      </c>
      <c r="K287" s="1081" t="s">
        <v>2030</v>
      </c>
      <c r="L287" s="1082" t="s">
        <v>425</v>
      </c>
      <c r="M287" s="2175" t="s">
        <v>2617</v>
      </c>
      <c r="N287" s="2175" t="s">
        <v>1338</v>
      </c>
      <c r="O287" s="2174" t="s">
        <v>4483</v>
      </c>
      <c r="P287" s="586" t="s">
        <v>2074</v>
      </c>
      <c r="Q287" s="301"/>
      <c r="R287" s="177"/>
      <c r="S287" s="403"/>
      <c r="T287" s="525" t="s">
        <v>2584</v>
      </c>
      <c r="U287" s="525" t="s">
        <v>2500</v>
      </c>
      <c r="W287" s="446" t="s">
        <v>829</v>
      </c>
      <c r="X287" s="446" t="s">
        <v>3412</v>
      </c>
      <c r="AA287" s="28"/>
      <c r="AB287" s="28"/>
      <c r="AC287" s="536"/>
      <c r="AD287" s="536"/>
    </row>
    <row r="288" spans="6:30" ht="10.5" customHeight="1">
      <c r="F288" s="587"/>
      <c r="G288" s="1079" t="s">
        <v>2202</v>
      </c>
      <c r="H288" s="1079" t="s">
        <v>1323</v>
      </c>
      <c r="I288" s="1080" t="s">
        <v>879</v>
      </c>
      <c r="J288" s="1080" t="s">
        <v>2630</v>
      </c>
      <c r="K288" s="1081" t="s">
        <v>2031</v>
      </c>
      <c r="L288" s="1082" t="s">
        <v>425</v>
      </c>
      <c r="M288" s="2175" t="s">
        <v>2617</v>
      </c>
      <c r="N288" s="2175" t="s">
        <v>162</v>
      </c>
      <c r="O288" s="2174" t="s">
        <v>4484</v>
      </c>
      <c r="P288" s="586" t="s">
        <v>603</v>
      </c>
      <c r="Q288" s="301"/>
      <c r="R288" s="177"/>
      <c r="S288" s="403"/>
      <c r="T288" s="525" t="s">
        <v>2157</v>
      </c>
      <c r="U288" s="525" t="s">
        <v>1120</v>
      </c>
      <c r="W288" s="446" t="s">
        <v>832</v>
      </c>
      <c r="X288" s="446" t="s">
        <v>3412</v>
      </c>
      <c r="AA288" s="28"/>
      <c r="AB288" s="28"/>
      <c r="AC288" s="997"/>
      <c r="AD288" s="536"/>
    </row>
    <row r="289" spans="6:30" ht="10.5" customHeight="1">
      <c r="F289" s="587"/>
      <c r="G289" s="1079" t="s">
        <v>880</v>
      </c>
      <c r="H289" s="1079" t="s">
        <v>1223</v>
      </c>
      <c r="I289" s="1080" t="s">
        <v>881</v>
      </c>
      <c r="J289" s="1080" t="s">
        <v>2630</v>
      </c>
      <c r="K289" s="1081" t="s">
        <v>2032</v>
      </c>
      <c r="L289" s="1082" t="s">
        <v>425</v>
      </c>
      <c r="M289" s="2175" t="s">
        <v>2617</v>
      </c>
      <c r="N289" s="2175" t="s">
        <v>1795</v>
      </c>
      <c r="O289" s="2174" t="s">
        <v>4485</v>
      </c>
      <c r="P289" s="586" t="s">
        <v>604</v>
      </c>
      <c r="Q289" s="301"/>
      <c r="R289" s="177"/>
      <c r="S289" s="403"/>
      <c r="T289" s="525" t="s">
        <v>2073</v>
      </c>
      <c r="U289" s="525" t="s">
        <v>1679</v>
      </c>
      <c r="W289" s="446" t="s">
        <v>1521</v>
      </c>
      <c r="X289" s="446" t="s">
        <v>3412</v>
      </c>
      <c r="AA289" s="28"/>
      <c r="AB289" s="28"/>
      <c r="AC289" s="997"/>
      <c r="AD289" s="536"/>
    </row>
    <row r="290" spans="6:30" ht="10.5" customHeight="1">
      <c r="F290" s="587"/>
      <c r="G290" s="1079" t="s">
        <v>1678</v>
      </c>
      <c r="H290" s="1079" t="s">
        <v>1223</v>
      </c>
      <c r="I290" s="1083" t="s">
        <v>1795</v>
      </c>
      <c r="J290" s="1080" t="s">
        <v>2631</v>
      </c>
      <c r="K290" s="1081" t="s">
        <v>1171</v>
      </c>
      <c r="L290" s="1082" t="s">
        <v>426</v>
      </c>
      <c r="M290" s="2173" t="s">
        <v>2617</v>
      </c>
      <c r="N290" s="2175" t="s">
        <v>1795</v>
      </c>
      <c r="O290" s="2174" t="s">
        <v>4486</v>
      </c>
      <c r="P290" s="586" t="s">
        <v>606</v>
      </c>
      <c r="Q290" s="301"/>
      <c r="R290" s="177"/>
      <c r="S290" s="403"/>
      <c r="T290" s="525" t="s">
        <v>2075</v>
      </c>
      <c r="U290" s="525" t="s">
        <v>2551</v>
      </c>
      <c r="W290" s="446" t="s">
        <v>487</v>
      </c>
      <c r="X290" s="446" t="s">
        <v>3412</v>
      </c>
      <c r="AA290" s="28"/>
      <c r="AB290" s="28"/>
      <c r="AC290" s="997"/>
      <c r="AD290" s="536"/>
    </row>
    <row r="291" spans="6:30" ht="10.5" customHeight="1">
      <c r="F291" s="587"/>
      <c r="G291" s="1079" t="s">
        <v>1679</v>
      </c>
      <c r="H291" s="1079" t="s">
        <v>1223</v>
      </c>
      <c r="I291" s="1083" t="s">
        <v>1680</v>
      </c>
      <c r="J291" s="1083" t="s">
        <v>2630</v>
      </c>
      <c r="K291" s="1081" t="s">
        <v>2033</v>
      </c>
      <c r="L291" s="1082" t="s">
        <v>425</v>
      </c>
      <c r="M291" s="2175" t="s">
        <v>2617</v>
      </c>
      <c r="N291" s="2173" t="s">
        <v>1709</v>
      </c>
      <c r="O291" s="2174" t="s">
        <v>4487</v>
      </c>
      <c r="P291" s="586" t="s">
        <v>608</v>
      </c>
      <c r="Q291" s="301"/>
      <c r="R291" s="177"/>
      <c r="S291" s="403"/>
      <c r="T291" s="525" t="s">
        <v>834</v>
      </c>
      <c r="U291" s="525" t="s">
        <v>320</v>
      </c>
      <c r="W291" s="446" t="s">
        <v>1405</v>
      </c>
      <c r="X291" s="446" t="s">
        <v>3412</v>
      </c>
      <c r="AA291" s="28"/>
      <c r="AB291" s="28"/>
      <c r="AC291" s="997"/>
      <c r="AD291" s="536"/>
    </row>
    <row r="292" spans="6:30" ht="10.5" customHeight="1">
      <c r="F292" s="587"/>
      <c r="G292" s="1079" t="s">
        <v>1681</v>
      </c>
      <c r="H292" s="1079" t="s">
        <v>1223</v>
      </c>
      <c r="I292" s="1083" t="s">
        <v>1924</v>
      </c>
      <c r="J292" s="1083" t="s">
        <v>2630</v>
      </c>
      <c r="K292" s="1081" t="s">
        <v>1176</v>
      </c>
      <c r="L292" s="1082" t="s">
        <v>425</v>
      </c>
      <c r="M292" s="2175" t="s">
        <v>2617</v>
      </c>
      <c r="N292" s="2175" t="s">
        <v>1795</v>
      </c>
      <c r="O292" s="2174" t="s">
        <v>4488</v>
      </c>
      <c r="P292" s="586" t="s">
        <v>609</v>
      </c>
      <c r="Q292" s="301"/>
      <c r="R292" s="177"/>
      <c r="S292" s="403"/>
      <c r="T292" s="525" t="s">
        <v>605</v>
      </c>
      <c r="U292" s="525" t="s">
        <v>123</v>
      </c>
      <c r="W292" s="446" t="s">
        <v>1407</v>
      </c>
      <c r="X292" s="446" t="s">
        <v>3412</v>
      </c>
      <c r="AA292" s="28"/>
      <c r="AB292" s="28"/>
      <c r="AC292" s="997"/>
      <c r="AD292" s="1000"/>
    </row>
    <row r="293" spans="6:30" ht="10.5" customHeight="1">
      <c r="F293" s="587"/>
      <c r="G293" s="1079" t="s">
        <v>1925</v>
      </c>
      <c r="H293" s="1079" t="s">
        <v>1223</v>
      </c>
      <c r="I293" s="1083" t="s">
        <v>1926</v>
      </c>
      <c r="J293" s="1083" t="s">
        <v>2630</v>
      </c>
      <c r="K293" s="1081" t="s">
        <v>1177</v>
      </c>
      <c r="L293" s="1082" t="s">
        <v>425</v>
      </c>
      <c r="M293" s="2175" t="s">
        <v>2617</v>
      </c>
      <c r="N293" s="2175" t="s">
        <v>1338</v>
      </c>
      <c r="O293" s="2174" t="s">
        <v>4489</v>
      </c>
      <c r="P293" s="586" t="s">
        <v>610</v>
      </c>
      <c r="Q293" s="301"/>
      <c r="R293" s="177"/>
      <c r="S293" s="403"/>
      <c r="T293" s="525" t="s">
        <v>2585</v>
      </c>
      <c r="U293" s="525" t="s">
        <v>1339</v>
      </c>
      <c r="W293" s="446" t="s">
        <v>2509</v>
      </c>
      <c r="X293" s="446" t="s">
        <v>3412</v>
      </c>
      <c r="AA293" s="28"/>
      <c r="AB293" s="28"/>
      <c r="AC293" s="997"/>
      <c r="AD293" s="536"/>
    </row>
    <row r="294" spans="6:30" ht="10.5" customHeight="1">
      <c r="F294" s="587"/>
      <c r="G294" s="1079" t="s">
        <v>1927</v>
      </c>
      <c r="H294" s="1079" t="s">
        <v>1323</v>
      </c>
      <c r="I294" s="1083" t="s">
        <v>1928</v>
      </c>
      <c r="J294" s="1083" t="s">
        <v>2630</v>
      </c>
      <c r="K294" s="1081" t="s">
        <v>1178</v>
      </c>
      <c r="L294" s="1082" t="s">
        <v>425</v>
      </c>
      <c r="M294" s="2175" t="s">
        <v>2617</v>
      </c>
      <c r="N294" s="2175" t="s">
        <v>167</v>
      </c>
      <c r="O294" s="2174" t="s">
        <v>4490</v>
      </c>
      <c r="P294" s="586" t="s">
        <v>612</v>
      </c>
      <c r="Q294" s="301"/>
      <c r="R294" s="177"/>
      <c r="S294" s="403"/>
      <c r="T294" s="525" t="s">
        <v>607</v>
      </c>
      <c r="U294" s="525" t="s">
        <v>2607</v>
      </c>
      <c r="W294" s="446" t="s">
        <v>1067</v>
      </c>
      <c r="X294" s="446" t="s">
        <v>3412</v>
      </c>
      <c r="AA294" s="28"/>
      <c r="AB294" s="28"/>
      <c r="AC294" s="997"/>
      <c r="AD294" s="536"/>
    </row>
    <row r="295" spans="6:30" ht="10.5" customHeight="1">
      <c r="F295" s="587"/>
      <c r="G295" s="1079" t="s">
        <v>1929</v>
      </c>
      <c r="H295" s="1079" t="s">
        <v>1223</v>
      </c>
      <c r="I295" s="1083" t="s">
        <v>1930</v>
      </c>
      <c r="J295" s="1083" t="s">
        <v>2630</v>
      </c>
      <c r="K295" s="1081" t="s">
        <v>1179</v>
      </c>
      <c r="L295" s="1082" t="s">
        <v>425</v>
      </c>
      <c r="M295" s="2175" t="s">
        <v>2617</v>
      </c>
      <c r="N295" s="2175" t="s">
        <v>1332</v>
      </c>
      <c r="O295" s="2174" t="s">
        <v>4491</v>
      </c>
      <c r="P295" s="586" t="s">
        <v>614</v>
      </c>
      <c r="Q295" s="301"/>
      <c r="R295" s="177"/>
      <c r="S295" s="403"/>
      <c r="T295" s="525" t="s">
        <v>2550</v>
      </c>
      <c r="U295" s="525" t="s">
        <v>2609</v>
      </c>
      <c r="W295" s="446" t="s">
        <v>1332</v>
      </c>
      <c r="X295" s="446" t="s">
        <v>3412</v>
      </c>
      <c r="AA295" s="28"/>
      <c r="AB295" s="28"/>
      <c r="AC295" s="997"/>
      <c r="AD295" s="536"/>
    </row>
    <row r="296" spans="6:30" ht="10.5" customHeight="1">
      <c r="F296" s="587"/>
      <c r="G296" s="1079" t="s">
        <v>1931</v>
      </c>
      <c r="H296" s="1079" t="s">
        <v>1323</v>
      </c>
      <c r="I296" s="1080" t="s">
        <v>1932</v>
      </c>
      <c r="J296" s="1083" t="s">
        <v>2630</v>
      </c>
      <c r="K296" s="1081" t="s">
        <v>1180</v>
      </c>
      <c r="L296" s="1082" t="s">
        <v>425</v>
      </c>
      <c r="M296" s="2175" t="s">
        <v>2617</v>
      </c>
      <c r="N296" s="2175" t="s">
        <v>1217</v>
      </c>
      <c r="O296" s="2174" t="s">
        <v>4492</v>
      </c>
      <c r="P296" s="586" t="s">
        <v>552</v>
      </c>
      <c r="Q296" s="301"/>
      <c r="R296" s="177"/>
      <c r="S296" s="403"/>
      <c r="T296" s="525" t="s">
        <v>611</v>
      </c>
      <c r="U296" s="525" t="s">
        <v>2198</v>
      </c>
      <c r="W296" s="446" t="s">
        <v>180</v>
      </c>
      <c r="X296" s="446" t="s">
        <v>3412</v>
      </c>
      <c r="AA296" s="28"/>
      <c r="AB296" s="28"/>
      <c r="AC296" s="997"/>
      <c r="AD296" s="536"/>
    </row>
    <row r="297" spans="6:30" ht="10.5" customHeight="1">
      <c r="F297" s="587"/>
      <c r="G297" s="1079" t="s">
        <v>1933</v>
      </c>
      <c r="H297" s="1079" t="s">
        <v>1223</v>
      </c>
      <c r="I297" s="1083" t="s">
        <v>1934</v>
      </c>
      <c r="J297" s="1080" t="s">
        <v>2630</v>
      </c>
      <c r="K297" s="1081" t="s">
        <v>1181</v>
      </c>
      <c r="L297" s="1082" t="s">
        <v>425</v>
      </c>
      <c r="M297" s="2175" t="s">
        <v>2617</v>
      </c>
      <c r="N297" s="2175" t="s">
        <v>1795</v>
      </c>
      <c r="O297" s="2174" t="s">
        <v>4493</v>
      </c>
      <c r="P297" s="586" t="s">
        <v>1166</v>
      </c>
      <c r="Q297" s="301"/>
      <c r="R297" s="177"/>
      <c r="S297" s="403"/>
      <c r="T297" s="525" t="s">
        <v>2873</v>
      </c>
      <c r="U297" s="525" t="s">
        <v>1111</v>
      </c>
      <c r="W297" s="446" t="s">
        <v>1587</v>
      </c>
      <c r="X297" s="446" t="s">
        <v>3412</v>
      </c>
      <c r="AA297" s="28"/>
      <c r="AB297" s="28"/>
      <c r="AC297" s="997"/>
      <c r="AD297" s="536"/>
    </row>
    <row r="298" spans="6:30" ht="10.5" customHeight="1">
      <c r="F298" s="587"/>
      <c r="G298" s="1079" t="s">
        <v>1935</v>
      </c>
      <c r="H298" s="1079" t="s">
        <v>1323</v>
      </c>
      <c r="I298" s="1083" t="s">
        <v>1332</v>
      </c>
      <c r="J298" s="1083" t="s">
        <v>2631</v>
      </c>
      <c r="K298" s="1081" t="s">
        <v>2597</v>
      </c>
      <c r="L298" s="1082" t="s">
        <v>426</v>
      </c>
      <c r="M298" s="2173" t="s">
        <v>2617</v>
      </c>
      <c r="N298" s="2175" t="s">
        <v>1332</v>
      </c>
      <c r="O298" s="2174" t="s">
        <v>4494</v>
      </c>
      <c r="P298" s="586" t="s">
        <v>755</v>
      </c>
      <c r="Q298" s="301"/>
      <c r="R298" s="177"/>
      <c r="S298" s="403"/>
      <c r="T298" s="525" t="s">
        <v>613</v>
      </c>
      <c r="U298" s="525" t="s">
        <v>1648</v>
      </c>
      <c r="W298" s="446" t="s">
        <v>379</v>
      </c>
      <c r="X298" s="446" t="s">
        <v>3412</v>
      </c>
      <c r="AA298" s="28"/>
      <c r="AB298" s="28"/>
      <c r="AC298" s="997"/>
      <c r="AD298" s="536"/>
    </row>
    <row r="299" spans="6:30" ht="10.5" customHeight="1">
      <c r="F299" s="587"/>
      <c r="G299" s="1079" t="s">
        <v>1936</v>
      </c>
      <c r="H299" s="1079" t="s">
        <v>1323</v>
      </c>
      <c r="I299" s="1083" t="s">
        <v>1937</v>
      </c>
      <c r="J299" s="1083" t="s">
        <v>2630</v>
      </c>
      <c r="K299" s="1081" t="s">
        <v>1182</v>
      </c>
      <c r="L299" s="1082" t="s">
        <v>425</v>
      </c>
      <c r="M299" s="2175" t="s">
        <v>2617</v>
      </c>
      <c r="N299" s="2173" t="s">
        <v>167</v>
      </c>
      <c r="O299" s="2174" t="s">
        <v>4495</v>
      </c>
      <c r="P299" s="586" t="s">
        <v>37</v>
      </c>
      <c r="Q299" s="301"/>
      <c r="R299" s="177"/>
      <c r="S299" s="403"/>
      <c r="T299" s="525" t="s">
        <v>551</v>
      </c>
      <c r="U299" s="525" t="s">
        <v>665</v>
      </c>
      <c r="W299" s="446" t="s">
        <v>381</v>
      </c>
      <c r="X299" s="446" t="s">
        <v>3412</v>
      </c>
      <c r="AA299" s="28"/>
      <c r="AB299" s="28"/>
      <c r="AC299" s="997"/>
      <c r="AD299" s="536"/>
    </row>
    <row r="300" spans="6:30" ht="10.5" customHeight="1">
      <c r="F300" s="587"/>
      <c r="G300" s="1079" t="s">
        <v>2022</v>
      </c>
      <c r="H300" s="1079" t="s">
        <v>1323</v>
      </c>
      <c r="I300" s="1080" t="s">
        <v>2023</v>
      </c>
      <c r="J300" s="1083" t="s">
        <v>2630</v>
      </c>
      <c r="K300" s="1081" t="s">
        <v>1183</v>
      </c>
      <c r="L300" s="1082" t="s">
        <v>425</v>
      </c>
      <c r="M300" s="2175" t="s">
        <v>2617</v>
      </c>
      <c r="N300" s="2175" t="s">
        <v>1217</v>
      </c>
      <c r="O300" s="2174" t="s">
        <v>4496</v>
      </c>
      <c r="P300" s="586" t="s">
        <v>1981</v>
      </c>
      <c r="Q300" s="301"/>
      <c r="R300" s="177"/>
      <c r="S300" s="403"/>
      <c r="T300" s="525" t="s">
        <v>553</v>
      </c>
      <c r="U300" s="525" t="s">
        <v>161</v>
      </c>
      <c r="W300" s="446" t="s">
        <v>1619</v>
      </c>
      <c r="X300" s="446" t="s">
        <v>3412</v>
      </c>
      <c r="AA300" s="28"/>
      <c r="AB300" s="28"/>
      <c r="AC300" s="997"/>
      <c r="AD300" s="536"/>
    </row>
    <row r="301" spans="6:30" ht="10.5" customHeight="1">
      <c r="F301" s="587"/>
      <c r="G301" s="1079" t="s">
        <v>2024</v>
      </c>
      <c r="H301" s="1079" t="s">
        <v>1323</v>
      </c>
      <c r="I301" s="1083" t="s">
        <v>1533</v>
      </c>
      <c r="J301" s="1080" t="s">
        <v>2631</v>
      </c>
      <c r="K301" s="1081" t="s">
        <v>1693</v>
      </c>
      <c r="L301" s="1082" t="s">
        <v>426</v>
      </c>
      <c r="M301" s="2173" t="s">
        <v>2617</v>
      </c>
      <c r="N301" s="2175" t="s">
        <v>1533</v>
      </c>
      <c r="O301" s="2174" t="s">
        <v>4497</v>
      </c>
      <c r="P301" s="586" t="s">
        <v>1983</v>
      </c>
      <c r="Q301" s="301"/>
      <c r="R301" s="177"/>
      <c r="S301" s="403"/>
      <c r="T301" s="525" t="s">
        <v>754</v>
      </c>
      <c r="U301" s="525" t="s">
        <v>1117</v>
      </c>
      <c r="W301" s="446" t="s">
        <v>1098</v>
      </c>
      <c r="X301" s="446" t="s">
        <v>3412</v>
      </c>
      <c r="AA301" s="28"/>
      <c r="AB301" s="28"/>
      <c r="AC301" s="997"/>
      <c r="AD301" s="536"/>
    </row>
    <row r="302" spans="6:30" ht="10.5" customHeight="1">
      <c r="F302" s="587"/>
      <c r="G302" s="1079" t="s">
        <v>2025</v>
      </c>
      <c r="H302" s="1079" t="s">
        <v>1323</v>
      </c>
      <c r="I302" s="1083" t="s">
        <v>772</v>
      </c>
      <c r="J302" s="1083" t="s">
        <v>2631</v>
      </c>
      <c r="K302" s="1081" t="s">
        <v>2594</v>
      </c>
      <c r="L302" s="1082" t="s">
        <v>426</v>
      </c>
      <c r="M302" s="2173" t="s">
        <v>1207</v>
      </c>
      <c r="N302" s="2173" t="s">
        <v>1217</v>
      </c>
      <c r="O302" s="2174" t="s">
        <v>4498</v>
      </c>
      <c r="P302" s="586" t="s">
        <v>336</v>
      </c>
      <c r="Q302" s="301"/>
      <c r="R302" s="177"/>
      <c r="S302" s="403"/>
      <c r="T302" s="525" t="s">
        <v>756</v>
      </c>
      <c r="U302" s="525" t="s">
        <v>122</v>
      </c>
      <c r="W302" s="446" t="s">
        <v>3407</v>
      </c>
      <c r="X302" s="446" t="s">
        <v>3412</v>
      </c>
      <c r="AA302" s="28"/>
      <c r="AB302" s="28"/>
      <c r="AC302" s="997"/>
      <c r="AD302" s="536"/>
    </row>
    <row r="303" spans="6:30" ht="10.5" customHeight="1">
      <c r="F303" s="587"/>
      <c r="G303" s="1079" t="s">
        <v>2026</v>
      </c>
      <c r="H303" s="1079" t="s">
        <v>1223</v>
      </c>
      <c r="I303" s="1083" t="s">
        <v>104</v>
      </c>
      <c r="J303" s="1083" t="s">
        <v>2630</v>
      </c>
      <c r="K303" s="1081" t="s">
        <v>1184</v>
      </c>
      <c r="L303" s="1082" t="s">
        <v>425</v>
      </c>
      <c r="M303" s="2175" t="s">
        <v>2617</v>
      </c>
      <c r="N303" s="2173" t="s">
        <v>1709</v>
      </c>
      <c r="O303" s="2174" t="s">
        <v>4499</v>
      </c>
      <c r="P303" s="586" t="s">
        <v>338</v>
      </c>
      <c r="Q303" s="301"/>
      <c r="R303" s="177"/>
      <c r="S303" s="403"/>
      <c r="T303" s="525" t="s">
        <v>38</v>
      </c>
      <c r="U303" s="525" t="s">
        <v>177</v>
      </c>
      <c r="W303" s="446" t="s">
        <v>3408</v>
      </c>
      <c r="X303" s="446" t="s">
        <v>3412</v>
      </c>
      <c r="AA303" s="28"/>
      <c r="AB303" s="28"/>
      <c r="AC303" s="997"/>
      <c r="AD303" s="536"/>
    </row>
    <row r="304" spans="6:30" ht="10.5" customHeight="1">
      <c r="F304" s="587"/>
      <c r="G304" s="1079" t="s">
        <v>105</v>
      </c>
      <c r="H304" s="1079" t="s">
        <v>1323</v>
      </c>
      <c r="I304" s="1083" t="s">
        <v>106</v>
      </c>
      <c r="J304" s="1083" t="s">
        <v>2630</v>
      </c>
      <c r="K304" s="1081" t="s">
        <v>1185</v>
      </c>
      <c r="L304" s="1082" t="s">
        <v>425</v>
      </c>
      <c r="M304" s="2175" t="s">
        <v>2617</v>
      </c>
      <c r="N304" s="2175" t="s">
        <v>1342</v>
      </c>
      <c r="O304" s="2174" t="s">
        <v>4500</v>
      </c>
      <c r="P304" s="586" t="s">
        <v>340</v>
      </c>
      <c r="Q304" s="301"/>
      <c r="R304" s="177"/>
      <c r="S304" s="403"/>
      <c r="T304" s="525" t="s">
        <v>1982</v>
      </c>
      <c r="U304" s="525" t="s">
        <v>2261</v>
      </c>
      <c r="W304" s="446" t="s">
        <v>526</v>
      </c>
      <c r="X304" s="446" t="s">
        <v>3412</v>
      </c>
      <c r="AA304" s="28"/>
      <c r="AB304" s="28"/>
      <c r="AC304" s="997"/>
      <c r="AD304" s="536"/>
    </row>
    <row r="305" spans="6:30" ht="10.5" customHeight="1">
      <c r="F305" s="587"/>
      <c r="G305" s="1079" t="s">
        <v>107</v>
      </c>
      <c r="H305" s="1079" t="s">
        <v>1323</v>
      </c>
      <c r="I305" s="1083" t="s">
        <v>108</v>
      </c>
      <c r="J305" s="1083" t="s">
        <v>2630</v>
      </c>
      <c r="K305" s="1081" t="s">
        <v>1186</v>
      </c>
      <c r="L305" s="1082" t="s">
        <v>425</v>
      </c>
      <c r="M305" s="2175" t="s">
        <v>2617</v>
      </c>
      <c r="N305" s="2175" t="s">
        <v>1332</v>
      </c>
      <c r="O305" s="2174" t="s">
        <v>4501</v>
      </c>
      <c r="P305" s="586" t="s">
        <v>342</v>
      </c>
      <c r="Q305" s="301"/>
      <c r="R305" s="177"/>
      <c r="S305" s="403"/>
      <c r="T305" s="525" t="s">
        <v>1984</v>
      </c>
      <c r="U305" s="525" t="s">
        <v>2610</v>
      </c>
      <c r="W305" s="446" t="s">
        <v>528</v>
      </c>
      <c r="X305" s="446" t="s">
        <v>3412</v>
      </c>
      <c r="AA305" s="28"/>
      <c r="AB305" s="28"/>
      <c r="AC305" s="997"/>
      <c r="AD305" s="536"/>
    </row>
    <row r="306" spans="6:30" ht="10.5" customHeight="1">
      <c r="F306" s="587"/>
      <c r="G306" s="1079" t="s">
        <v>109</v>
      </c>
      <c r="H306" s="1079" t="s">
        <v>1223</v>
      </c>
      <c r="I306" s="1083" t="s">
        <v>110</v>
      </c>
      <c r="J306" s="1083" t="s">
        <v>2630</v>
      </c>
      <c r="K306" s="1081" t="s">
        <v>1187</v>
      </c>
      <c r="L306" s="1082" t="s">
        <v>425</v>
      </c>
      <c r="M306" s="2175" t="s">
        <v>2617</v>
      </c>
      <c r="N306" s="2175" t="s">
        <v>1338</v>
      </c>
      <c r="O306" s="2174" t="s">
        <v>4502</v>
      </c>
      <c r="P306" s="586" t="s">
        <v>344</v>
      </c>
      <c r="Q306" s="301"/>
      <c r="R306" s="177"/>
      <c r="S306" s="403"/>
      <c r="T306" s="525" t="s">
        <v>337</v>
      </c>
      <c r="U306" s="525" t="s">
        <v>1966</v>
      </c>
      <c r="W306" s="446" t="s">
        <v>534</v>
      </c>
      <c r="X306" s="446" t="s">
        <v>3412</v>
      </c>
      <c r="AA306" s="28"/>
      <c r="AB306" s="28"/>
      <c r="AC306" s="997"/>
      <c r="AD306" s="536"/>
    </row>
    <row r="307" spans="6:30" ht="10.5" customHeight="1">
      <c r="F307" s="587"/>
      <c r="G307" s="1079" t="s">
        <v>111</v>
      </c>
      <c r="H307" s="1079" t="s">
        <v>1223</v>
      </c>
      <c r="I307" s="1083" t="s">
        <v>112</v>
      </c>
      <c r="J307" s="1083" t="s">
        <v>2630</v>
      </c>
      <c r="K307" s="1081" t="s">
        <v>1188</v>
      </c>
      <c r="L307" s="1082" t="s">
        <v>425</v>
      </c>
      <c r="M307" s="2175" t="s">
        <v>2617</v>
      </c>
      <c r="N307" s="2175" t="s">
        <v>162</v>
      </c>
      <c r="O307" s="2174" t="s">
        <v>4503</v>
      </c>
      <c r="P307" s="586" t="s">
        <v>346</v>
      </c>
      <c r="Q307" s="301"/>
      <c r="R307" s="177"/>
      <c r="S307" s="403"/>
      <c r="T307" s="525" t="s">
        <v>339</v>
      </c>
      <c r="U307" s="525" t="s">
        <v>883</v>
      </c>
      <c r="W307" s="446" t="s">
        <v>547</v>
      </c>
      <c r="X307" s="446" t="s">
        <v>3412</v>
      </c>
      <c r="AA307" s="28"/>
      <c r="AB307" s="28"/>
      <c r="AC307" s="997"/>
      <c r="AD307" s="536"/>
    </row>
    <row r="308" spans="6:30" ht="10.5" customHeight="1">
      <c r="F308" s="587"/>
      <c r="G308" s="1079" t="s">
        <v>113</v>
      </c>
      <c r="H308" s="1079" t="s">
        <v>1223</v>
      </c>
      <c r="I308" s="1083" t="s">
        <v>114</v>
      </c>
      <c r="J308" s="1083" t="s">
        <v>2630</v>
      </c>
      <c r="K308" s="1081" t="s">
        <v>2374</v>
      </c>
      <c r="L308" s="1082" t="s">
        <v>425</v>
      </c>
      <c r="M308" s="2175" t="s">
        <v>2617</v>
      </c>
      <c r="N308" s="2175" t="s">
        <v>1332</v>
      </c>
      <c r="O308" s="2174" t="s">
        <v>4504</v>
      </c>
      <c r="P308" s="586" t="s">
        <v>1956</v>
      </c>
      <c r="Q308" s="301"/>
      <c r="R308" s="177"/>
      <c r="S308" s="403"/>
      <c r="T308" s="525" t="s">
        <v>341</v>
      </c>
      <c r="U308" s="525" t="s">
        <v>180</v>
      </c>
      <c r="W308" s="446" t="s">
        <v>1648</v>
      </c>
      <c r="X308" s="446" t="s">
        <v>3412</v>
      </c>
      <c r="AA308" s="28"/>
      <c r="AB308" s="28"/>
      <c r="AC308" s="997"/>
      <c r="AD308" s="536"/>
    </row>
    <row r="309" spans="6:30" ht="10.5" customHeight="1">
      <c r="F309" s="587"/>
      <c r="G309" s="1079" t="s">
        <v>115</v>
      </c>
      <c r="H309" s="1079" t="s">
        <v>1323</v>
      </c>
      <c r="I309" s="1083" t="s">
        <v>116</v>
      </c>
      <c r="J309" s="1083" t="s">
        <v>2630</v>
      </c>
      <c r="K309" s="1081" t="s">
        <v>2375</v>
      </c>
      <c r="L309" s="1082" t="s">
        <v>425</v>
      </c>
      <c r="M309" s="2175" t="s">
        <v>2617</v>
      </c>
      <c r="N309" s="2175" t="s">
        <v>167</v>
      </c>
      <c r="O309" s="2174" t="s">
        <v>4505</v>
      </c>
      <c r="P309" s="586" t="s">
        <v>1958</v>
      </c>
      <c r="Q309" s="301"/>
      <c r="R309" s="177"/>
      <c r="S309" s="403"/>
      <c r="T309" s="525" t="s">
        <v>343</v>
      </c>
      <c r="U309" s="525" t="s">
        <v>2416</v>
      </c>
      <c r="W309" s="446" t="s">
        <v>2112</v>
      </c>
      <c r="X309" s="446" t="s">
        <v>3412</v>
      </c>
      <c r="AA309" s="28"/>
      <c r="AB309" s="28"/>
      <c r="AC309" s="997"/>
      <c r="AD309" s="536"/>
    </row>
    <row r="310" spans="6:30" ht="10.5" customHeight="1">
      <c r="F310" s="587"/>
      <c r="G310" s="1079" t="s">
        <v>1966</v>
      </c>
      <c r="H310" s="1079" t="s">
        <v>1323</v>
      </c>
      <c r="I310" s="1080" t="s">
        <v>337</v>
      </c>
      <c r="J310" s="1083" t="s">
        <v>2631</v>
      </c>
      <c r="K310" s="1081" t="s">
        <v>2376</v>
      </c>
      <c r="L310" s="1082" t="s">
        <v>426</v>
      </c>
      <c r="M310" s="2175" t="s">
        <v>1207</v>
      </c>
      <c r="N310" s="2175" t="s">
        <v>1533</v>
      </c>
      <c r="O310" s="2174" t="s">
        <v>4506</v>
      </c>
      <c r="P310" s="586" t="s">
        <v>2171</v>
      </c>
      <c r="Q310" s="301"/>
      <c r="R310" s="177"/>
      <c r="S310" s="403"/>
      <c r="T310" s="292" t="s">
        <v>345</v>
      </c>
      <c r="U310" s="292" t="s">
        <v>1893</v>
      </c>
      <c r="W310" s="446" t="s">
        <v>3409</v>
      </c>
      <c r="X310" s="446" t="s">
        <v>3412</v>
      </c>
      <c r="AA310" s="28"/>
      <c r="AB310" s="28"/>
      <c r="AC310" s="997"/>
      <c r="AD310" s="536"/>
    </row>
    <row r="311" spans="6:30" ht="10.5" customHeight="1">
      <c r="F311" s="587"/>
      <c r="G311" s="1079" t="s">
        <v>1967</v>
      </c>
      <c r="H311" s="1079" t="s">
        <v>1223</v>
      </c>
      <c r="I311" s="1083" t="s">
        <v>2413</v>
      </c>
      <c r="J311" s="1080" t="s">
        <v>2630</v>
      </c>
      <c r="K311" s="1081" t="s">
        <v>2377</v>
      </c>
      <c r="L311" s="1082" t="s">
        <v>425</v>
      </c>
      <c r="M311" s="2175" t="s">
        <v>2617</v>
      </c>
      <c r="N311" s="2175" t="s">
        <v>1795</v>
      </c>
      <c r="O311" s="2174" t="s">
        <v>4507</v>
      </c>
      <c r="P311" s="586" t="s">
        <v>154</v>
      </c>
      <c r="Q311" s="301"/>
      <c r="R311" s="177"/>
      <c r="S311" s="403"/>
      <c r="T311" s="525" t="s">
        <v>347</v>
      </c>
      <c r="U311" s="525" t="s">
        <v>176</v>
      </c>
      <c r="W311" s="446" t="s">
        <v>2265</v>
      </c>
      <c r="X311" s="446" t="s">
        <v>3412</v>
      </c>
      <c r="AA311" s="28"/>
      <c r="AB311" s="28"/>
      <c r="AC311" s="536"/>
      <c r="AD311" s="536"/>
    </row>
    <row r="312" spans="6:30" ht="10.5" customHeight="1">
      <c r="F312" s="587"/>
      <c r="G312" s="1079" t="s">
        <v>2414</v>
      </c>
      <c r="H312" s="1079" t="s">
        <v>1323</v>
      </c>
      <c r="I312" s="1083" t="s">
        <v>2415</v>
      </c>
      <c r="J312" s="1083" t="s">
        <v>2630</v>
      </c>
      <c r="K312" s="1081" t="s">
        <v>423</v>
      </c>
      <c r="L312" s="1082" t="s">
        <v>425</v>
      </c>
      <c r="M312" s="2175" t="s">
        <v>2617</v>
      </c>
      <c r="N312" s="2175" t="s">
        <v>1342</v>
      </c>
      <c r="O312" s="2174" t="s">
        <v>4508</v>
      </c>
      <c r="P312" s="586" t="s">
        <v>155</v>
      </c>
      <c r="Q312" s="301"/>
      <c r="R312" s="177"/>
      <c r="S312" s="403"/>
      <c r="T312" s="525" t="s">
        <v>1957</v>
      </c>
      <c r="U312" s="525" t="s">
        <v>107</v>
      </c>
      <c r="W312" s="446" t="s">
        <v>400</v>
      </c>
      <c r="X312" s="446" t="s">
        <v>3412</v>
      </c>
      <c r="AA312" s="28"/>
      <c r="AB312" s="28"/>
      <c r="AC312" s="997"/>
      <c r="AD312" s="536"/>
    </row>
    <row r="313" spans="6:30" ht="10.5" customHeight="1">
      <c r="F313" s="587"/>
      <c r="G313" s="1079" t="s">
        <v>2416</v>
      </c>
      <c r="H313" s="1079" t="s">
        <v>1323</v>
      </c>
      <c r="I313" s="1083" t="s">
        <v>2417</v>
      </c>
      <c r="J313" s="1083" t="s">
        <v>2630</v>
      </c>
      <c r="K313" s="1081" t="s">
        <v>424</v>
      </c>
      <c r="L313" s="1082" t="s">
        <v>425</v>
      </c>
      <c r="M313" s="2175" t="s">
        <v>2617</v>
      </c>
      <c r="N313" s="2175" t="s">
        <v>1332</v>
      </c>
      <c r="O313" s="2174" t="s">
        <v>4509</v>
      </c>
      <c r="P313" s="586" t="s">
        <v>1592</v>
      </c>
      <c r="Q313" s="301"/>
      <c r="R313" s="177"/>
      <c r="S313" s="403"/>
      <c r="T313" s="525" t="s">
        <v>197</v>
      </c>
      <c r="U313" s="525" t="s">
        <v>1678</v>
      </c>
      <c r="W313" s="446" t="s">
        <v>1854</v>
      </c>
      <c r="X313" s="446" t="s">
        <v>3412</v>
      </c>
      <c r="AA313" s="28"/>
      <c r="AB313" s="28"/>
      <c r="AC313" s="997"/>
      <c r="AD313" s="536"/>
    </row>
    <row r="314" spans="6:30" ht="10.5" customHeight="1">
      <c r="F314" s="347"/>
      <c r="G314" s="1079" t="s">
        <v>2418</v>
      </c>
      <c r="H314" s="1079" t="s">
        <v>1223</v>
      </c>
      <c r="I314" s="1083" t="s">
        <v>1795</v>
      </c>
      <c r="J314" s="1083" t="s">
        <v>2631</v>
      </c>
      <c r="K314" s="1081" t="s">
        <v>1171</v>
      </c>
      <c r="L314" s="1082" t="s">
        <v>426</v>
      </c>
      <c r="M314" s="2173" t="s">
        <v>2617</v>
      </c>
      <c r="N314" s="2175" t="s">
        <v>1795</v>
      </c>
      <c r="O314" s="2174" t="s">
        <v>4510</v>
      </c>
      <c r="P314" s="586" t="s">
        <v>798</v>
      </c>
      <c r="Q314" s="301"/>
      <c r="R314" s="177"/>
      <c r="S314" s="403"/>
      <c r="T314" s="525" t="s">
        <v>2172</v>
      </c>
      <c r="U314" s="525" t="s">
        <v>197</v>
      </c>
      <c r="W314" s="446" t="s">
        <v>2289</v>
      </c>
      <c r="X314" s="446" t="s">
        <v>3412</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3412</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3412</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3412</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3412</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3412</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3412</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2874</v>
      </c>
      <c r="U322" s="525" t="s">
        <v>887</v>
      </c>
      <c r="W322" s="446" t="s">
        <v>1194</v>
      </c>
      <c r="X322" s="446" t="s">
        <v>3412</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3412</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3412</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3410</v>
      </c>
      <c r="X326" s="446" t="s">
        <v>3412</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3412</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3412</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3412</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3412</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3412</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2875</v>
      </c>
      <c r="U333" s="525" t="s">
        <v>2501</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3412</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3412</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3412</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3412</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2876</v>
      </c>
      <c r="U338" s="525" t="s">
        <v>160</v>
      </c>
      <c r="W338" s="446" t="s">
        <v>1626</v>
      </c>
      <c r="X338" s="446" t="s">
        <v>3412</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2877</v>
      </c>
      <c r="U339" s="525" t="s">
        <v>318</v>
      </c>
      <c r="W339" s="446" t="s">
        <v>2433</v>
      </c>
      <c r="X339" s="446" t="s">
        <v>3412</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3412</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3412</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3412</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3412</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3412</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3412</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3412</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3412</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3412</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3412</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3412</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3412</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3412</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2878</v>
      </c>
      <c r="U354" s="525" t="s">
        <v>201</v>
      </c>
      <c r="W354" s="446" t="s">
        <v>1425</v>
      </c>
      <c r="X354" s="446" t="s">
        <v>3412</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3412</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3412</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2879</v>
      </c>
      <c r="U357" s="525" t="s">
        <v>661</v>
      </c>
      <c r="W357" s="446" t="s">
        <v>1126</v>
      </c>
      <c r="X357" s="446" t="s">
        <v>3412</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3412</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3412</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3412</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3412</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3412</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3412</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3412</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3412</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3412</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3412</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3412</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3412</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3412</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3412</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3412</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3412</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3412</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3412</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3412</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3412</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3412</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3412</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3412</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3412</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3412</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3412</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3412</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3412</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3412</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2880</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2881</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2882</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2883</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2884</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2885</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2886</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2887</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2888</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2889</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2890</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2891</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2892</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2786</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2893</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2894</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2895</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2896</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vu7Cxd6seaZDDcUJoRnSBFt0fXRiN/hXcEgJ5zQcumPMwMAn9o6PwmllMlyDKEwBSc1Cb4j+PRePLY2u7zoeaw==" saltValue="/WibmNn1iaE4VFw6au111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6" zoomScale="130" zoomScaleNormal="130" workbookViewId="0">
      <selection activeCell="A5" sqref="A1:XFD1048576"/>
    </sheetView>
  </sheetViews>
  <sheetFormatPr defaultRowHeight="12.75"/>
  <cols>
    <col min="1" max="1" width="9.42578125" style="683" bestFit="1" customWidth="1"/>
    <col min="2" max="2" width="10.7109375" style="683" bestFit="1" customWidth="1"/>
    <col min="3" max="4" width="10.42578125" style="683" bestFit="1" customWidth="1"/>
    <col min="5" max="5" width="11.7109375" style="683" bestFit="1" customWidth="1"/>
    <col min="6" max="7" width="10.42578125" style="683" bestFit="1" customWidth="1"/>
    <col min="8" max="8" width="14" style="683" bestFit="1" customWidth="1"/>
    <col min="9" max="10" width="14.42578125" style="683" bestFit="1" customWidth="1"/>
    <col min="11" max="11" width="10.42578125" style="683" bestFit="1" customWidth="1"/>
    <col min="12" max="12" width="9.85546875" style="683" bestFit="1" customWidth="1"/>
    <col min="13" max="13" width="11.7109375" style="683" bestFit="1" customWidth="1"/>
    <col min="14"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Grayling Place</v>
      </c>
    </row>
    <row r="3" spans="1:16" ht="16.5">
      <c r="A3" s="1620" t="str">
        <f>CONCATENATE('Part I-Project Information'!F38,", ", 'Part I-Project Information'!J39," County")</f>
        <v>Columbus, Muscogee County</v>
      </c>
    </row>
    <row r="5" spans="1:16" ht="12.75" customHeight="1">
      <c r="A5" s="1621" t="str">
        <f>'Project Narrative'!$A$5</f>
        <v xml:space="preserve">Grayling Place is a proposed 84-unit family development to be located in the City of Columbus. The development will include new construction of four residential buildings and a clubhouse. The community will be located off of Wynnton Road and within walking distance of public transportation, restaurants, schools, and a place of worship. The site is located in census tract 0011.00, is considered upper income and a 4.33% poverty rate. This development will sit on 5.79 acres of land. The site is adjacent to single family residential homes located in two historical neighborhoods and desirable commercial amenities. 
Grayling Place will provide a mix of unit choices, and will appeal to a variety of individuals and families. The project will include 10 one-bedroom units, 56 two-bedroom units, and 18 three-bedroom units.  There will be 17 units at 50% of the Area Median Income, 50 units at 60% of the Area Median Income, and 17 units at market rate. Residents will enjoy an equipped playground, a computer center, an onsite laundry facility, and community garden. The site will also have plenty of green space for our residents to enjoy and be in close proximity to public transportation. This project will be an active community with regularly scheduled social events.
Grayling Place will seek ten points over the minimum score required in the Enterprise Foundation Green Communities certification program to achieve the Exceptional Sustainable Building Certification. This accomplishment will  allow the residents to enjoy energy efficient living spaces, lower utility costs, and will limit the environmental “foot print” of the development on the community.    
There will also be a healthy housing and healthy eating initiative called Healthy Way incorporated into the Grayling Place community.  Beyond answering the demand for affordable housing, Grayling Place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Through partnerships with local hospitals such as Piedmont Columbus Regional, we will have regular monthly visits from a Mobile Health Unit for biometric screenings and blood glucose monitoring along with education and awareness information on topics ranging from exercise and nutrition to awareness of risk factors of diabetes.
The Project Team brings a wealth of experience, both individually and collectively as a team that has worked together over multiple projects.  The Project Team has completed 15 developments, many with over 84 units, totaling 1042 units.  Madison Heights, which is currently under construction, will be 120 units, and Madison Heights Phase II will begin construction in June of 2018 will also be 120 units.  Dunwoody Place (Huntsville, AL) is 112 units, and Glen Arbor is also 112 units. Taylor Village, an adaptive-reuse project which is under construction, has allowed the TBG team to recreate and restore the historic and structural integrity of the deteriorated Taylor Memorial Hospital. TBG recognizes the importance of developing communities that compliment surrounding neighborhood designs. The aforementioned experiences, along with HOME, TCAP, and other 9% Tax Credit experience, sets our long standing and cohesive team up for success.
MHL,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MHL, Inc.
The total development cost for Grayling Place is estimated to be approximately $16,105,048. Sources of funds for construction and permanent financing include federal and state credit equity along with  conventional financing.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303394002, 319010000,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4519</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2381</v>
      </c>
      <c r="C16" s="1625"/>
      <c r="D16" s="1625"/>
      <c r="E16" s="1625"/>
      <c r="F16" s="1623"/>
      <c r="G16" s="1627" t="s">
        <v>4748</v>
      </c>
      <c r="H16" s="1625"/>
      <c r="I16" s="1625"/>
      <c r="J16" s="1625"/>
      <c r="K16" s="1625"/>
      <c r="L16" s="1623"/>
      <c r="M16" s="1625"/>
      <c r="N16" s="1625"/>
      <c r="O16" s="1625"/>
      <c r="P16" s="1628" t="s">
        <v>3900</v>
      </c>
    </row>
    <row r="17" spans="1:16" ht="14.25" customHeight="1">
      <c r="A17" s="1625"/>
      <c r="B17" s="1629"/>
      <c r="C17" s="1629"/>
      <c r="D17" s="1629"/>
      <c r="E17" s="1629"/>
      <c r="F17" s="1623"/>
      <c r="G17" s="1627" t="s">
        <v>4749</v>
      </c>
      <c r="H17" s="1630"/>
      <c r="I17" s="1630"/>
      <c r="J17" s="1630"/>
      <c r="K17" s="1625"/>
      <c r="L17" s="1625"/>
      <c r="M17" s="1625"/>
      <c r="N17" s="1625"/>
      <c r="O17" s="1622" t="str">
        <f>'Part I-Project Information'!$O$6</f>
        <v>2018-021</v>
      </c>
      <c r="P17" s="1622"/>
    </row>
    <row r="18" spans="1:16">
      <c r="A18" s="1625"/>
      <c r="B18" s="1629"/>
      <c r="C18" s="1629"/>
      <c r="D18" s="1629"/>
      <c r="E18" s="1629"/>
      <c r="F18" s="1622"/>
      <c r="G18" s="1631" t="s">
        <v>3341</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2392</v>
      </c>
      <c r="C20" s="1625"/>
      <c r="D20" s="1632"/>
      <c r="E20" s="1630"/>
      <c r="F20" s="1633" t="s">
        <v>3827</v>
      </c>
      <c r="G20" s="1625"/>
      <c r="H20" s="1625"/>
      <c r="I20" s="1634">
        <f>'Part IV-A-Uses of Funds'!$J$175</f>
        <v>923320</v>
      </c>
      <c r="J20" s="1634"/>
      <c r="K20" s="1625"/>
      <c r="L20" s="1625" t="s">
        <v>3828</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2057</v>
      </c>
      <c r="C22" s="1625"/>
      <c r="D22" s="1625"/>
      <c r="E22" s="1625"/>
      <c r="F22" s="1637" t="str">
        <f>'Part I-Project Information'!$F$11</f>
        <v>9% Credit Competitive Round only</v>
      </c>
      <c r="G22" s="1637"/>
      <c r="H22" s="1637"/>
      <c r="I22" s="1638" t="s">
        <v>3743</v>
      </c>
      <c r="J22" s="1622" t="s">
        <v>4750</v>
      </c>
      <c r="K22" s="1622"/>
      <c r="L22" s="1630"/>
      <c r="M22" s="1625"/>
      <c r="N22" s="1625"/>
      <c r="O22" s="1625" t="str">
        <f>'Part I-Project Information'!$O$11</f>
        <v>&lt;&lt;Enter Pre-App Nbr&gt;&gt;</v>
      </c>
      <c r="P22" s="1625"/>
    </row>
    <row r="23" spans="1:16" ht="13.5" customHeight="1">
      <c r="A23" s="1623"/>
      <c r="B23" s="1639" t="s">
        <v>4520</v>
      </c>
      <c r="C23" s="1639"/>
      <c r="D23" s="1639"/>
      <c r="E23" s="1625"/>
      <c r="F23" s="1625"/>
      <c r="G23" s="1625"/>
      <c r="H23" s="1630"/>
      <c r="I23" s="1625"/>
      <c r="J23" s="1633" t="s">
        <v>2753</v>
      </c>
      <c r="K23" s="1626"/>
      <c r="L23" s="1625"/>
      <c r="M23" s="1630"/>
      <c r="N23" s="1625"/>
      <c r="O23" s="1637" t="str">
        <f>'Part I-Project Information'!$O$12</f>
        <v>&lt;&lt;Select&gt;&gt;</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3825</v>
      </c>
      <c r="K25" s="1625"/>
      <c r="L25" s="1625"/>
      <c r="M25" s="1625"/>
      <c r="N25" s="1625"/>
      <c r="O25" s="1625"/>
      <c r="P25" s="1625"/>
    </row>
    <row r="26" spans="1:16">
      <c r="A26" s="1623"/>
      <c r="B26" s="1625" t="s">
        <v>3901</v>
      </c>
      <c r="C26" s="1625"/>
      <c r="D26" s="1622"/>
      <c r="E26" s="1625"/>
      <c r="F26" s="1641">
        <f>'Part I-Project Information'!$F$15</f>
        <v>0</v>
      </c>
      <c r="G26" s="1641"/>
      <c r="H26" s="1641"/>
      <c r="I26" s="1641"/>
      <c r="J26" s="1641"/>
      <c r="K26" s="1641"/>
      <c r="L26" s="1625" t="s">
        <v>3824</v>
      </c>
      <c r="M26" s="1625"/>
      <c r="N26" s="1625"/>
      <c r="O26" s="1625">
        <f>'Part I-Project Information'!$O$15</f>
        <v>0</v>
      </c>
      <c r="P26" s="1625"/>
    </row>
    <row r="27" spans="1:16">
      <c r="A27" s="1623"/>
      <c r="B27" s="1625" t="s">
        <v>3826</v>
      </c>
      <c r="C27" s="1625"/>
      <c r="D27" s="1625"/>
      <c r="E27" s="1625"/>
      <c r="F27" s="1640">
        <f>'Part I-Project Information'!F16</f>
        <v>0</v>
      </c>
      <c r="G27" s="1625" t="s">
        <v>3883</v>
      </c>
      <c r="H27" s="1630"/>
      <c r="I27" s="1631"/>
      <c r="J27" s="1633"/>
      <c r="K27" s="1625"/>
      <c r="L27" s="1625"/>
      <c r="M27" s="1642" t="str">
        <f>'Part I-Project Information'!M16</f>
        <v>&lt;&lt; Select Designation &gt;&gt;</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3912</v>
      </c>
      <c r="C31" s="1625"/>
      <c r="D31" s="1625"/>
      <c r="E31" s="1625"/>
      <c r="F31" s="1625" t="str">
        <f>'Part I-Project Information'!F20</f>
        <v>TBG Residential</v>
      </c>
      <c r="G31" s="1625">
        <f>'Part I-Project Information'!G20</f>
        <v>0</v>
      </c>
      <c r="H31" s="1625">
        <f>'Part I-Project Information'!H20</f>
        <v>0</v>
      </c>
      <c r="I31" s="1625" t="s">
        <v>1810</v>
      </c>
      <c r="J31" s="1625" t="str">
        <f>'Part I-Project Information'!J20</f>
        <v>Kevin Buckner</v>
      </c>
      <c r="K31" s="1625">
        <f>'Part I-Project Information'!K20</f>
        <v>0</v>
      </c>
      <c r="L31" s="1625">
        <f>'Part I-Project Information'!L20</f>
        <v>0</v>
      </c>
      <c r="M31" s="1633" t="s">
        <v>1997</v>
      </c>
      <c r="N31" s="1625" t="str">
        <f>'Part I-Project Information'!N20</f>
        <v>President</v>
      </c>
      <c r="O31" s="1625">
        <f>'Part I-Project Information'!O20</f>
        <v>0</v>
      </c>
      <c r="P31" s="1625">
        <f>'Part I-Project Information'!P20</f>
        <v>0</v>
      </c>
    </row>
    <row r="32" spans="1:16" ht="12.75" customHeight="1">
      <c r="A32" s="1625"/>
      <c r="B32" s="1633" t="s">
        <v>1998</v>
      </c>
      <c r="C32" s="1625"/>
      <c r="D32" s="1625"/>
      <c r="E32" s="1625"/>
      <c r="F32" s="1625" t="str">
        <f>'Part I-Project Information'!F21</f>
        <v>3825 Paces Walk SE, Suite 100</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3911</v>
      </c>
      <c r="N32" s="1643"/>
      <c r="O32" s="1643"/>
      <c r="P32" s="1643"/>
    </row>
    <row r="33" spans="1:16" ht="12.75" customHeight="1">
      <c r="A33" s="1625"/>
      <c r="B33" s="1633" t="s">
        <v>624</v>
      </c>
      <c r="C33" s="1625"/>
      <c r="D33" s="1625"/>
      <c r="E33" s="1625"/>
      <c r="F33" s="1625" t="str">
        <f>'Part I-Project Information'!F22</f>
        <v>Atlanta</v>
      </c>
      <c r="G33" s="1625">
        <f>'Part I-Project Information'!G22</f>
        <v>0</v>
      </c>
      <c r="H33" s="1625">
        <f>'Part I-Project Information'!H22</f>
        <v>0</v>
      </c>
      <c r="I33" s="1633" t="s">
        <v>1812</v>
      </c>
      <c r="J33" s="1644" t="str">
        <f>'Part I-Project Information'!J22</f>
        <v>GA</v>
      </c>
      <c r="K33" s="1625"/>
      <c r="L33" s="1625"/>
      <c r="M33" s="1643"/>
      <c r="N33" s="1643"/>
      <c r="O33" s="1643"/>
      <c r="P33" s="1643"/>
    </row>
    <row r="34" spans="1:16">
      <c r="A34" s="1625"/>
      <c r="B34" s="1633" t="s">
        <v>2246</v>
      </c>
      <c r="C34" s="1625"/>
      <c r="D34" s="1625"/>
      <c r="E34" s="1625"/>
      <c r="F34" s="1645">
        <f>'Part I-Project Information'!F23</f>
        <v>303394002</v>
      </c>
      <c r="G34" s="1645">
        <f>'Part I-Project Information'!G23</f>
        <v>0</v>
      </c>
      <c r="H34" s="1645">
        <f>'Part I-Project Information'!H23</f>
        <v>0</v>
      </c>
      <c r="I34" s="1633" t="s">
        <v>1733</v>
      </c>
      <c r="J34" s="1646">
        <f>'Part I-Project Information'!J23</f>
        <v>6783245540</v>
      </c>
      <c r="K34" s="1646">
        <f>'Part I-Project Information'!K23</f>
        <v>0</v>
      </c>
      <c r="L34" s="1630" t="s">
        <v>1732</v>
      </c>
      <c r="M34" s="1630">
        <f>'Part I-Project Information'!M23</f>
        <v>101</v>
      </c>
      <c r="N34" s="1633" t="s">
        <v>1734</v>
      </c>
      <c r="O34" s="1646">
        <f>'Part I-Project Information'!O23</f>
        <v>6783245550</v>
      </c>
      <c r="P34" s="1646">
        <f>'Part I-Project Information'!P23</f>
        <v>0</v>
      </c>
    </row>
    <row r="35" spans="1:16">
      <c r="A35" s="1625"/>
      <c r="B35" s="1633" t="s">
        <v>2001</v>
      </c>
      <c r="C35" s="1625"/>
      <c r="D35" s="1625"/>
      <c r="E35" s="1625"/>
      <c r="F35" s="1625" t="str">
        <f>'Part I-Project Information'!F24</f>
        <v>kbuckner@tbgresidential.com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1996</v>
      </c>
      <c r="O35" s="1646">
        <f>'Part I-Project Information'!O24</f>
        <v>7708627333</v>
      </c>
      <c r="P35" s="1646">
        <f>'Part I-Project Information'!P24</f>
        <v>0</v>
      </c>
    </row>
    <row r="36" spans="1:16">
      <c r="A36" s="1623"/>
      <c r="B36" s="1622" t="s">
        <v>4114</v>
      </c>
      <c r="C36" s="1632"/>
      <c r="D36" s="1625"/>
      <c r="E36" s="1625"/>
      <c r="F36" s="1625"/>
      <c r="G36" s="1625"/>
      <c r="H36" s="1630"/>
      <c r="I36" s="1625"/>
      <c r="J36" s="1632"/>
      <c r="K36" s="1625"/>
      <c r="L36" s="1625"/>
      <c r="M36" s="1625"/>
      <c r="N36" s="1625"/>
      <c r="O36" s="1625"/>
      <c r="P36" s="1647"/>
    </row>
    <row r="37" spans="1:16">
      <c r="A37" s="1625"/>
      <c r="B37" s="1625" t="s">
        <v>3912</v>
      </c>
      <c r="C37" s="1625"/>
      <c r="D37" s="1625"/>
      <c r="E37" s="1625"/>
      <c r="F37" s="1625" t="str">
        <f>'Part I-Project Information'!F26</f>
        <v>TBG Residential</v>
      </c>
      <c r="G37" s="1625">
        <f>'Part I-Project Information'!G26</f>
        <v>0</v>
      </c>
      <c r="H37" s="1625">
        <f>'Part I-Project Information'!H26</f>
        <v>0</v>
      </c>
      <c r="I37" s="1625" t="s">
        <v>1810</v>
      </c>
      <c r="J37" s="1625" t="str">
        <f>'Part I-Project Information'!J26</f>
        <v>Amelia Johnson</v>
      </c>
      <c r="K37" s="1625">
        <f>'Part I-Project Information'!K26</f>
        <v>0</v>
      </c>
      <c r="L37" s="1625">
        <f>'Part I-Project Information'!L26</f>
        <v>0</v>
      </c>
      <c r="M37" s="1633" t="s">
        <v>1997</v>
      </c>
      <c r="N37" s="1625" t="str">
        <f>'Part I-Project Information'!N26</f>
        <v>VP of Development</v>
      </c>
      <c r="O37" s="1625">
        <f>'Part I-Project Information'!O26</f>
        <v>0</v>
      </c>
      <c r="P37" s="1625">
        <f>'Part I-Project Information'!P26</f>
        <v>0</v>
      </c>
    </row>
    <row r="38" spans="1:16" ht="12.75" customHeight="1">
      <c r="A38" s="1625"/>
      <c r="B38" s="1633" t="s">
        <v>1998</v>
      </c>
      <c r="C38" s="1625"/>
      <c r="D38" s="1625"/>
      <c r="E38" s="1625"/>
      <c r="F38" s="1625" t="str">
        <f>'Part I-Project Information'!F27</f>
        <v>3825 Paces Walk SE, Suite 100</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3911</v>
      </c>
      <c r="N38" s="1643"/>
      <c r="O38" s="1643"/>
      <c r="P38" s="1643"/>
    </row>
    <row r="39" spans="1:16" ht="12.75" customHeight="1">
      <c r="A39" s="1625"/>
      <c r="B39" s="1633" t="s">
        <v>624</v>
      </c>
      <c r="C39" s="1625"/>
      <c r="D39" s="1625"/>
      <c r="E39" s="1625"/>
      <c r="F39" s="1625" t="str">
        <f>'Part I-Project Information'!F28</f>
        <v>Atlanta</v>
      </c>
      <c r="G39" s="1625">
        <f>'Part I-Project Information'!G28</f>
        <v>0</v>
      </c>
      <c r="H39" s="1625">
        <f>'Part I-Project Information'!H28</f>
        <v>0</v>
      </c>
      <c r="I39" s="1633" t="s">
        <v>1812</v>
      </c>
      <c r="J39" s="1644" t="str">
        <f>'Part I-Project Information'!J28</f>
        <v>GA</v>
      </c>
      <c r="K39" s="1625"/>
      <c r="L39" s="1625"/>
      <c r="M39" s="1643"/>
      <c r="N39" s="1643"/>
      <c r="O39" s="1643"/>
      <c r="P39" s="1643"/>
    </row>
    <row r="40" spans="1:16">
      <c r="A40" s="1625"/>
      <c r="B40" s="1633" t="s">
        <v>2246</v>
      </c>
      <c r="C40" s="1625"/>
      <c r="D40" s="1625"/>
      <c r="E40" s="1625"/>
      <c r="F40" s="1645">
        <f>'Part I-Project Information'!F29</f>
        <v>303394002</v>
      </c>
      <c r="G40" s="1645">
        <f>'Part I-Project Information'!G29</f>
        <v>0</v>
      </c>
      <c r="H40" s="1645">
        <f>'Part I-Project Information'!H29</f>
        <v>0</v>
      </c>
      <c r="I40" s="1633" t="s">
        <v>1733</v>
      </c>
      <c r="J40" s="1646">
        <f>'Part I-Project Information'!J29</f>
        <v>6783245540</v>
      </c>
      <c r="K40" s="1646">
        <f>'Part I-Project Information'!K29</f>
        <v>0</v>
      </c>
      <c r="L40" s="1630" t="s">
        <v>1732</v>
      </c>
      <c r="M40" s="1630">
        <f>'Part I-Project Information'!M29</f>
        <v>107</v>
      </c>
      <c r="N40" s="1633" t="s">
        <v>1734</v>
      </c>
      <c r="O40" s="1646">
        <f>'Part I-Project Information'!O29</f>
        <v>6783245556</v>
      </c>
      <c r="P40" s="1646">
        <f>'Part I-Project Information'!P29</f>
        <v>0</v>
      </c>
    </row>
    <row r="41" spans="1:16">
      <c r="A41" s="1625"/>
      <c r="B41" s="1633" t="s">
        <v>2001</v>
      </c>
      <c r="C41" s="1625"/>
      <c r="D41" s="1625"/>
      <c r="E41" s="1625"/>
      <c r="F41" s="1625" t="str">
        <f>'Part I-Project Information'!F30</f>
        <v>ajohnson@tbgresidential.com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1996</v>
      </c>
      <c r="O41" s="1646">
        <f>'Part I-Project Information'!O30</f>
        <v>4045435337</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Grayling Place</v>
      </c>
      <c r="G45" s="1641">
        <f>'Part I-Project Information'!G34</f>
        <v>0</v>
      </c>
      <c r="H45" s="1641">
        <f>'Part I-Project Information'!H34</f>
        <v>0</v>
      </c>
      <c r="I45" s="1641">
        <f>'Part I-Project Information'!I34</f>
        <v>0</v>
      </c>
      <c r="J45" s="1641">
        <f>'Part I-Project Information'!J34</f>
        <v>0</v>
      </c>
      <c r="K45" s="1641">
        <f>'Part I-Project Information'!K34</f>
        <v>0</v>
      </c>
      <c r="L45" s="1633" t="s">
        <v>2209</v>
      </c>
      <c r="M45" s="1625"/>
      <c r="N45" s="1625"/>
      <c r="O45" s="1625" t="str">
        <f>'Part I-Project Information'!O34</f>
        <v>No</v>
      </c>
      <c r="P45" s="1625">
        <f>'Part I-Project Information'!P34</f>
        <v>0</v>
      </c>
    </row>
    <row r="46" spans="1:16">
      <c r="A46" s="1628"/>
      <c r="B46" s="1625" t="s">
        <v>2718</v>
      </c>
      <c r="C46" s="1625"/>
      <c r="D46" s="1636"/>
      <c r="E46" s="1625"/>
      <c r="F46" s="1625" t="str">
        <f>'Part I-Project Information'!F35</f>
        <v>2551 Wynnton Road</v>
      </c>
      <c r="G46" s="1625">
        <f>'Part I-Project Information'!G35</f>
        <v>0</v>
      </c>
      <c r="H46" s="1625">
        <f>'Part I-Project Information'!H35</f>
        <v>0</v>
      </c>
      <c r="I46" s="1625">
        <f>'Part I-Project Information'!I35</f>
        <v>0</v>
      </c>
      <c r="J46" s="1625">
        <f>'Part I-Project Information'!J35</f>
        <v>0</v>
      </c>
      <c r="K46" s="1625">
        <f>'Part I-Project Information'!K35</f>
        <v>0</v>
      </c>
      <c r="L46" s="1625" t="s">
        <v>3709</v>
      </c>
      <c r="M46" s="1625"/>
      <c r="N46" s="1625"/>
      <c r="O46" s="1625">
        <f>'Part I-Project Information'!O35</f>
        <v>0</v>
      </c>
      <c r="P46" s="1625">
        <f>'Part I-Project Information'!P35</f>
        <v>0</v>
      </c>
    </row>
    <row r="47" spans="1:16">
      <c r="A47" s="1628"/>
      <c r="B47" s="1625" t="s">
        <v>4751</v>
      </c>
      <c r="C47" s="1625"/>
      <c r="D47" s="1636"/>
      <c r="E47" s="1625"/>
      <c r="F47" s="1625">
        <f>'Part I-Project Information'!F36</f>
        <v>0</v>
      </c>
      <c r="G47" s="1625">
        <f>'Part I-Project Information'!G36</f>
        <v>0</v>
      </c>
      <c r="H47" s="1625">
        <f>'Part I-Project Information'!H36</f>
        <v>0</v>
      </c>
      <c r="I47" s="1625">
        <f>'Part I-Project Information'!I36</f>
        <v>0</v>
      </c>
      <c r="J47" s="1625">
        <f>'Part I-Project Information'!J36</f>
        <v>0</v>
      </c>
      <c r="K47" s="1625">
        <f>'Part I-Project Information'!K36</f>
        <v>0</v>
      </c>
      <c r="L47" s="1633" t="s">
        <v>2067</v>
      </c>
      <c r="M47" s="1625"/>
      <c r="N47" s="1630" t="str">
        <f>'Part I-Project Information'!N36</f>
        <v>No</v>
      </c>
      <c r="O47" s="1630" t="s">
        <v>3708</v>
      </c>
      <c r="P47" s="1630">
        <f>'Part I-Project Information'!P36</f>
        <v>0</v>
      </c>
    </row>
    <row r="48" spans="1:16">
      <c r="A48" s="1628"/>
      <c r="B48" s="1625" t="s">
        <v>3765</v>
      </c>
      <c r="C48" s="1625"/>
      <c r="D48" s="1636"/>
      <c r="E48" s="1625"/>
      <c r="F48" s="1625" t="s">
        <v>3745</v>
      </c>
      <c r="G48" s="1648">
        <f>'Part I-Project Information'!G37</f>
        <v>32.473201000000003</v>
      </c>
      <c r="H48" s="1648">
        <f>'Part I-Project Information'!H37</f>
        <v>0</v>
      </c>
      <c r="I48" s="1630" t="s">
        <v>3746</v>
      </c>
      <c r="J48" s="1648">
        <f>'Part I-Project Information'!J37</f>
        <v>-84.954791999999998</v>
      </c>
      <c r="K48" s="1648">
        <f>'Part I-Project Information'!K37</f>
        <v>0</v>
      </c>
      <c r="L48" s="1633" t="s">
        <v>2300</v>
      </c>
      <c r="M48" s="1625"/>
      <c r="N48" s="1625"/>
      <c r="O48" s="1649">
        <f>'Part I-Project Information'!O37</f>
        <v>5.79</v>
      </c>
      <c r="P48" s="1649">
        <f>'Part I-Project Information'!P37</f>
        <v>0</v>
      </c>
    </row>
    <row r="49" spans="1:16" ht="16.5">
      <c r="A49" s="1623"/>
      <c r="B49" s="1625" t="s">
        <v>624</v>
      </c>
      <c r="C49" s="1625"/>
      <c r="D49" s="1625"/>
      <c r="E49" s="1625"/>
      <c r="F49" s="1625" t="str">
        <f>'Part I-Project Information'!F38</f>
        <v>Columbus</v>
      </c>
      <c r="G49" s="1625">
        <f>'Part I-Project Information'!G38</f>
        <v>0</v>
      </c>
      <c r="H49" s="1625">
        <f>'Part I-Project Information'!H38</f>
        <v>0</v>
      </c>
      <c r="I49" s="1650" t="s">
        <v>4752</v>
      </c>
      <c r="J49" s="1645">
        <f>'Part I-Project Information'!J38</f>
        <v>319062100</v>
      </c>
      <c r="K49" s="1645">
        <f>'Part I-Project Information'!K38</f>
        <v>0</v>
      </c>
      <c r="L49" s="1622" t="str">
        <f>IF(AND(NOT(F45=""),NOT(F49="Select from list"),J49=""),"Enter Zip!","")</f>
        <v/>
      </c>
      <c r="M49" s="1651" t="s">
        <v>2927</v>
      </c>
      <c r="N49" s="1625"/>
      <c r="O49" s="1652" t="str">
        <f>'Part I-Project Information'!O38</f>
        <v>11.00</v>
      </c>
      <c r="P49" s="1653">
        <f>'Part I-Project Information'!P38</f>
        <v>0</v>
      </c>
    </row>
    <row r="50" spans="1:16">
      <c r="A50" s="1623"/>
      <c r="B50" s="1625" t="s">
        <v>3593</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Muscogee</v>
      </c>
      <c r="K50" s="1641">
        <f>'Part I-Project Information'!K39</f>
        <v>0</v>
      </c>
      <c r="L50" s="1625"/>
      <c r="M50" s="1633" t="s">
        <v>455</v>
      </c>
      <c r="N50" s="1655" t="str">
        <f>'Part I-Project Information'!N39</f>
        <v>No</v>
      </c>
      <c r="O50" s="1630" t="s">
        <v>456</v>
      </c>
      <c r="P50" s="1655" t="str">
        <f>'Part I-Project Information'!P39</f>
        <v>No</v>
      </c>
    </row>
    <row r="51" spans="1:16">
      <c r="A51" s="1623"/>
      <c r="B51" s="1622"/>
      <c r="C51" s="1625" t="s">
        <v>1570</v>
      </c>
      <c r="D51" s="1625"/>
      <c r="E51" s="1625"/>
      <c r="F51" s="1633" t="str">
        <f>'Part I-Project Information'!F40</f>
        <v>No</v>
      </c>
      <c r="G51" s="1625" t="s">
        <v>2801</v>
      </c>
      <c r="H51" s="1625"/>
      <c r="I51" s="1630" t="str">
        <f>'Part I-Project Information'!I40</f>
        <v>No</v>
      </c>
      <c r="J51" s="1630" t="s">
        <v>2821</v>
      </c>
      <c r="K51" s="1630" t="str">
        <f>'Part I-Project Information'!K40</f>
        <v>Urban</v>
      </c>
      <c r="L51" s="1625"/>
      <c r="M51" s="1633" t="s">
        <v>2629</v>
      </c>
      <c r="N51" s="1623" t="str">
        <f>'Part I-Project Information'!N40</f>
        <v>MSA</v>
      </c>
      <c r="O51" s="1625" t="str">
        <f>'Part I-Project Information'!O40</f>
        <v>Columbus</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4753</v>
      </c>
      <c r="D53" s="1625"/>
      <c r="E53" s="1625"/>
      <c r="F53" s="1656" t="s">
        <v>2782</v>
      </c>
      <c r="G53" s="1656"/>
      <c r="H53" s="1625" t="s">
        <v>744</v>
      </c>
      <c r="I53" s="1625"/>
      <c r="J53" s="1625" t="s">
        <v>745</v>
      </c>
      <c r="K53" s="1625"/>
      <c r="L53" s="1657" t="s">
        <v>4542</v>
      </c>
      <c r="M53" s="1625"/>
      <c r="N53" s="1625"/>
      <c r="O53" s="1625"/>
      <c r="P53" s="1625"/>
    </row>
    <row r="54" spans="1:16">
      <c r="A54" s="1623"/>
      <c r="B54" s="1625" t="s">
        <v>4754</v>
      </c>
      <c r="C54" s="1625"/>
      <c r="D54" s="1622"/>
      <c r="E54" s="1625"/>
      <c r="F54" s="1658">
        <f>'Part I-Project Information'!F43</f>
        <v>2</v>
      </c>
      <c r="G54" s="1658">
        <f>'Part I-Project Information'!G43</f>
        <v>0</v>
      </c>
      <c r="H54" s="1658">
        <f>'Part I-Project Information'!H43</f>
        <v>15</v>
      </c>
      <c r="I54" s="1658">
        <f>'Part I-Project Information'!I43</f>
        <v>0</v>
      </c>
      <c r="J54" s="1658">
        <f>'Part I-Project Information'!J43</f>
        <v>135</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2780</v>
      </c>
      <c r="M55" s="1625"/>
      <c r="N55" s="1660" t="s">
        <v>2779</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Columbus</v>
      </c>
      <c r="G57" s="1661">
        <f>'Part I-Project Information'!G46</f>
        <v>0</v>
      </c>
      <c r="H57" s="1661">
        <f>'Part I-Project Information'!H46</f>
        <v>0</v>
      </c>
      <c r="I57" s="1661">
        <f>'Part I-Project Information'!I46</f>
        <v>0</v>
      </c>
      <c r="J57" s="1661">
        <f>'Part I-Project Information'!J46</f>
        <v>0</v>
      </c>
      <c r="K57" s="1661">
        <f>'Part I-Project Information'!K46</f>
        <v>0</v>
      </c>
      <c r="L57" s="1662" t="s">
        <v>2724</v>
      </c>
      <c r="M57" s="1625" t="str">
        <f>'Part I-Project Information'!M46</f>
        <v>www.columbusga.gov</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Teresa Tomlinson</v>
      </c>
      <c r="G58" s="1661">
        <f>'Part I-Project Information'!G47</f>
        <v>0</v>
      </c>
      <c r="H58" s="1661">
        <f>'Part I-Project Information'!H47</f>
        <v>0</v>
      </c>
      <c r="I58" s="1630" t="s">
        <v>1997</v>
      </c>
      <c r="J58" s="1625" t="str">
        <f>'Part I-Project Information'!J47</f>
        <v>Mayor</v>
      </c>
      <c r="K58" s="1625">
        <f>'Part I-Project Information'!K47</f>
        <v>0</v>
      </c>
      <c r="L58" s="1662"/>
      <c r="M58" s="1625"/>
      <c r="N58" s="1625"/>
      <c r="O58" s="1625"/>
      <c r="P58" s="1625"/>
    </row>
    <row r="59" spans="1:16">
      <c r="A59" s="1623"/>
      <c r="B59" s="1625" t="s">
        <v>1998</v>
      </c>
      <c r="C59" s="1625"/>
      <c r="D59" s="1625"/>
      <c r="E59" s="1625"/>
      <c r="F59" s="1661" t="str">
        <f>'Part I-Project Information'!F48</f>
        <v>100 10th Street, Government Center</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Columbus</v>
      </c>
      <c r="N59" s="1661">
        <f>'Part I-Project Information'!N48</f>
        <v>0</v>
      </c>
      <c r="O59" s="1661">
        <f>'Part I-Project Information'!O48</f>
        <v>0</v>
      </c>
      <c r="P59" s="1661">
        <f>'Part I-Project Information'!P48</f>
        <v>0</v>
      </c>
    </row>
    <row r="60" spans="1:16">
      <c r="A60" s="1623"/>
      <c r="B60" s="1633" t="s">
        <v>2246</v>
      </c>
      <c r="C60" s="1625"/>
      <c r="D60" s="1625"/>
      <c r="E60" s="1625"/>
      <c r="F60" s="1645">
        <f>'Part I-Project Information'!F49</f>
        <v>319010000</v>
      </c>
      <c r="G60" s="1645">
        <f>'Part I-Project Information'!G49</f>
        <v>0</v>
      </c>
      <c r="H60" s="1630" t="s">
        <v>1999</v>
      </c>
      <c r="I60" s="1646">
        <f>'Part I-Project Information'!I49</f>
        <v>7066537142</v>
      </c>
      <c r="J60" s="1646">
        <f>'Part I-Project Information'!J49</f>
        <v>0</v>
      </c>
      <c r="K60" s="1646">
        <f>'Part I-Project Information'!K49</f>
        <v>0</v>
      </c>
      <c r="L60" s="1633" t="s">
        <v>1813</v>
      </c>
      <c r="M60" s="1661" t="str">
        <f>'Part I-Project Information'!M49</f>
        <v>ttomlinson@columbusga.org</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2000</v>
      </c>
      <c r="C65" s="1622" t="s">
        <v>4755</v>
      </c>
      <c r="D65" s="1625"/>
      <c r="E65" s="1625"/>
      <c r="F65" s="1625"/>
      <c r="G65" s="1625"/>
      <c r="H65" s="1625"/>
      <c r="I65" s="1625"/>
      <c r="J65" s="1625"/>
      <c r="K65" s="1631"/>
      <c r="L65" s="1625"/>
      <c r="M65" s="1659"/>
      <c r="N65" s="1659"/>
      <c r="O65" s="1659"/>
      <c r="P65" s="1659"/>
    </row>
    <row r="66" spans="1:16" ht="13.5">
      <c r="A66" s="1632"/>
      <c r="B66" s="1623"/>
      <c r="C66" s="1625" t="s">
        <v>2312</v>
      </c>
      <c r="D66" s="1625"/>
      <c r="E66" s="1625"/>
      <c r="F66" s="1632"/>
      <c r="G66" s="1632"/>
      <c r="H66" s="1665">
        <f>'Part VI-Revenues &amp; Expenses'!$O$74</f>
        <v>84</v>
      </c>
      <c r="I66" s="1632"/>
      <c r="J66" s="1632"/>
      <c r="K66" s="1633" t="s">
        <v>3700</v>
      </c>
      <c r="L66" s="1625"/>
      <c r="M66" s="1666" t="s">
        <v>3699</v>
      </c>
      <c r="N66" s="1665">
        <f>'Part VI-Revenues &amp; Expenses'!$O$81</f>
        <v>0</v>
      </c>
      <c r="O66" s="1667" t="s">
        <v>3380</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2932</v>
      </c>
      <c r="J68" s="1625"/>
      <c r="K68" s="1625" t="s">
        <v>350</v>
      </c>
      <c r="L68" s="1625"/>
      <c r="M68" s="1625"/>
      <c r="N68" s="1625"/>
      <c r="O68" s="1625"/>
      <c r="P68" s="1670">
        <f>'Part I-Project Information'!P57</f>
        <v>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2002</v>
      </c>
      <c r="C70" s="1622" t="s">
        <v>2313</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2293</v>
      </c>
      <c r="D72" s="1625"/>
      <c r="E72" s="1625"/>
      <c r="F72" s="1625"/>
      <c r="G72" s="1625"/>
      <c r="H72" s="1625"/>
      <c r="I72" s="1672" t="s">
        <v>3589</v>
      </c>
      <c r="J72" s="1628" t="s">
        <v>2132</v>
      </c>
      <c r="K72" s="1673" t="s">
        <v>2319</v>
      </c>
      <c r="L72" s="1625"/>
      <c r="M72" s="1625"/>
      <c r="N72" s="1625"/>
      <c r="O72" s="1625"/>
      <c r="P72" s="1630"/>
    </row>
    <row r="73" spans="1:16">
      <c r="A73" s="1623"/>
      <c r="B73" s="1644"/>
      <c r="C73" s="1632" t="s">
        <v>2294</v>
      </c>
      <c r="D73" s="1625"/>
      <c r="E73" s="1625"/>
      <c r="F73" s="1625"/>
      <c r="G73" s="1625"/>
      <c r="H73" s="1674">
        <f>SUM(H74:H75)</f>
        <v>67</v>
      </c>
      <c r="I73" s="1674">
        <f>SUM(I74:I75)</f>
        <v>0</v>
      </c>
      <c r="J73" s="1623"/>
      <c r="K73" s="1632" t="s">
        <v>2793</v>
      </c>
      <c r="L73" s="1625"/>
      <c r="M73" s="1625"/>
      <c r="N73" s="1625"/>
      <c r="O73" s="1625"/>
      <c r="P73" s="1674">
        <f>'Part VI-Revenues &amp; Expenses'!$O$115</f>
        <v>73577</v>
      </c>
    </row>
    <row r="74" spans="1:16">
      <c r="A74" s="1623"/>
      <c r="B74" s="1632"/>
      <c r="C74" s="1625"/>
      <c r="D74" s="1656" t="s">
        <v>387</v>
      </c>
      <c r="E74" s="1625"/>
      <c r="F74" s="1625"/>
      <c r="G74" s="1625"/>
      <c r="H74" s="1674">
        <f>'Part VI-Revenues &amp; Expenses'!$O$57</f>
        <v>17</v>
      </c>
      <c r="I74" s="1674">
        <f>'Part VI-Revenues &amp; Expenses'!$O$65</f>
        <v>0</v>
      </c>
      <c r="J74" s="1625"/>
      <c r="K74" s="1632" t="s">
        <v>2794</v>
      </c>
      <c r="L74" s="1625"/>
      <c r="M74" s="1625"/>
      <c r="N74" s="1625"/>
      <c r="O74" s="1625"/>
      <c r="P74" s="1674">
        <f>'Part VI-Revenues &amp; Expenses'!$O$116</f>
        <v>18757</v>
      </c>
    </row>
    <row r="75" spans="1:16">
      <c r="A75" s="1623"/>
      <c r="B75" s="1625"/>
      <c r="C75" s="1625"/>
      <c r="D75" s="1656" t="s">
        <v>1835</v>
      </c>
      <c r="E75" s="1656"/>
      <c r="F75" s="1625"/>
      <c r="G75" s="1625"/>
      <c r="H75" s="1674">
        <f>'Part VI-Revenues &amp; Expenses'!$O$56</f>
        <v>50</v>
      </c>
      <c r="I75" s="1674">
        <f>'Part VI-Revenues &amp; Expenses'!$O$64</f>
        <v>0</v>
      </c>
      <c r="J75" s="1625"/>
      <c r="K75" s="1632" t="s">
        <v>2795</v>
      </c>
      <c r="L75" s="1625"/>
      <c r="M75" s="1625"/>
      <c r="N75" s="1625"/>
      <c r="O75" s="1625"/>
      <c r="P75" s="1674">
        <f>P73+P74</f>
        <v>92334</v>
      </c>
    </row>
    <row r="76" spans="1:16">
      <c r="A76" s="1623"/>
      <c r="B76" s="1625"/>
      <c r="C76" s="1632" t="s">
        <v>255</v>
      </c>
      <c r="D76" s="1625"/>
      <c r="E76" s="1625"/>
      <c r="F76" s="1625"/>
      <c r="G76" s="1625"/>
      <c r="H76" s="1674">
        <f>'Part VI-Revenues &amp; Expenses'!$O$59</f>
        <v>17</v>
      </c>
      <c r="I76" s="1625"/>
      <c r="J76" s="1623"/>
      <c r="K76" s="1632" t="s">
        <v>2796</v>
      </c>
      <c r="L76" s="1625"/>
      <c r="M76" s="1625"/>
      <c r="N76" s="1625"/>
      <c r="O76" s="1625"/>
      <c r="P76" s="1674">
        <f>'Part VI-Revenues &amp; Expenses'!$O$118</f>
        <v>0</v>
      </c>
    </row>
    <row r="77" spans="1:16">
      <c r="A77" s="1623"/>
      <c r="B77" s="1625"/>
      <c r="C77" s="1632" t="s">
        <v>2424</v>
      </c>
      <c r="D77" s="1625"/>
      <c r="E77" s="1625"/>
      <c r="F77" s="1625"/>
      <c r="G77" s="1625"/>
      <c r="H77" s="1674">
        <f>H73+H76</f>
        <v>84</v>
      </c>
      <c r="I77" s="1625"/>
      <c r="J77" s="1623"/>
      <c r="K77" s="1632" t="s">
        <v>1432</v>
      </c>
      <c r="L77" s="1625"/>
      <c r="M77" s="1625"/>
      <c r="N77" s="1625"/>
      <c r="O77" s="1625"/>
      <c r="P77" s="1674">
        <f>+P75+P76</f>
        <v>92334</v>
      </c>
    </row>
    <row r="78" spans="1:16">
      <c r="A78" s="1623"/>
      <c r="B78" s="1625"/>
      <c r="C78" s="1632" t="s">
        <v>2425</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84</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2314</v>
      </c>
      <c r="D81" s="1656" t="s">
        <v>2013</v>
      </c>
      <c r="E81" s="1625"/>
      <c r="F81" s="1625"/>
      <c r="G81" s="1625"/>
      <c r="H81" s="1674">
        <f>'Part I-Project Information'!H70</f>
        <v>4</v>
      </c>
      <c r="I81" s="1625"/>
      <c r="J81" s="1625"/>
      <c r="K81" s="1632" t="s">
        <v>4104</v>
      </c>
      <c r="L81" s="1625"/>
      <c r="M81" s="1625"/>
      <c r="N81" s="1625"/>
      <c r="O81" s="1625"/>
      <c r="P81" s="1674">
        <f>'Part I-Project Information'!P70</f>
        <v>2576</v>
      </c>
    </row>
    <row r="82" spans="1:16">
      <c r="A82" s="1623"/>
      <c r="B82" s="1623"/>
      <c r="C82" s="1625"/>
      <c r="D82" s="1644" t="s">
        <v>2014</v>
      </c>
      <c r="E82" s="1625"/>
      <c r="F82" s="1625"/>
      <c r="G82" s="1625"/>
      <c r="H82" s="1674">
        <f>'Part I-Project Information'!H71</f>
        <v>1</v>
      </c>
      <c r="I82" s="1625"/>
      <c r="J82" s="1625"/>
      <c r="K82" s="1632" t="s">
        <v>254</v>
      </c>
      <c r="L82" s="1625"/>
      <c r="M82" s="1625"/>
      <c r="N82" s="1625"/>
      <c r="O82" s="1625"/>
      <c r="P82" s="1674">
        <f>+P77+P81</f>
        <v>94910</v>
      </c>
    </row>
    <row r="83" spans="1:16">
      <c r="A83" s="1623"/>
      <c r="B83" s="1623"/>
      <c r="C83" s="1625"/>
      <c r="D83" s="1644" t="s">
        <v>2015</v>
      </c>
      <c r="E83" s="1625"/>
      <c r="F83" s="1625"/>
      <c r="G83" s="1625"/>
      <c r="H83" s="1674">
        <f>+H81+H82</f>
        <v>5</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2862</v>
      </c>
      <c r="D85" s="1625"/>
      <c r="E85" s="1625"/>
      <c r="F85" s="1625"/>
      <c r="G85" s="1625"/>
      <c r="H85" s="1674">
        <f>'Part I-Project Information'!H74</f>
        <v>170</v>
      </c>
      <c r="I85" s="1625"/>
      <c r="J85" s="1625"/>
      <c r="K85" s="1621" t="s">
        <v>3884</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2000</v>
      </c>
      <c r="C89" s="1626" t="s">
        <v>4756</v>
      </c>
      <c r="D89" s="1676"/>
      <c r="E89" s="1676"/>
      <c r="F89" s="1625"/>
      <c r="G89" s="1630"/>
      <c r="H89" s="1656" t="str">
        <f>'Part I-Project Information'!H78</f>
        <v>Family</v>
      </c>
      <c r="I89" s="1656">
        <f>'Part I-Project Information'!I78</f>
        <v>0</v>
      </c>
      <c r="J89" s="1625"/>
      <c r="K89" s="1625" t="s">
        <v>1785</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3906</v>
      </c>
      <c r="I91" s="1621"/>
      <c r="J91" s="1625"/>
      <c r="K91" s="1677" t="s">
        <v>2933</v>
      </c>
      <c r="L91" s="1674">
        <f>'Part I-Project Information'!L80</f>
        <v>0</v>
      </c>
      <c r="M91" s="1677" t="s">
        <v>2934</v>
      </c>
      <c r="N91" s="1674">
        <f>'Part I-Project Information'!N80</f>
        <v>0</v>
      </c>
      <c r="O91" s="1625"/>
      <c r="P91" s="1636" t="s">
        <v>3908</v>
      </c>
    </row>
    <row r="92" spans="1:16">
      <c r="A92" s="1623"/>
      <c r="B92" s="1623"/>
      <c r="C92" s="1625"/>
      <c r="D92" s="1633"/>
      <c r="E92" s="1676"/>
      <c r="F92" s="1625"/>
      <c r="G92" s="1625"/>
      <c r="H92" s="1621"/>
      <c r="I92" s="1621"/>
      <c r="J92" s="1625"/>
      <c r="K92" s="1636" t="s">
        <v>2935</v>
      </c>
      <c r="L92" s="1674">
        <f>'Part I-Project Information'!L81</f>
        <v>0</v>
      </c>
      <c r="M92" s="1636" t="s">
        <v>3907</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2002</v>
      </c>
      <c r="C94" s="1622" t="s">
        <v>1423</v>
      </c>
      <c r="D94" s="1625"/>
      <c r="E94" s="1656"/>
      <c r="F94" s="1644" t="s">
        <v>804</v>
      </c>
      <c r="G94" s="1625"/>
      <c r="H94" s="1674">
        <f>'Part VIII-Threshold Criteria'!K301</f>
        <v>5</v>
      </c>
      <c r="I94" s="1625"/>
      <c r="J94" s="1625"/>
      <c r="K94" s="1625" t="s">
        <v>525</v>
      </c>
      <c r="L94" s="1625"/>
      <c r="M94" s="1625"/>
      <c r="N94" s="1678">
        <f>IF('Part VI-Revenues &amp; Expenses'!$O$62=0,0,H94/'Part VI-Revenues &amp; Expenses'!$O$62)</f>
        <v>5.9523809523809521E-2</v>
      </c>
      <c r="O94" s="1636" t="s">
        <v>3723</v>
      </c>
      <c r="P94" s="1679">
        <f>'DCA Underwriting Assumptions'!$Q$136</f>
        <v>0.05</v>
      </c>
    </row>
    <row r="95" spans="1:16">
      <c r="A95" s="1623"/>
      <c r="B95" s="1623"/>
      <c r="C95" s="1625"/>
      <c r="D95" s="1644" t="s">
        <v>2860</v>
      </c>
      <c r="E95" s="1644"/>
      <c r="F95" s="1644" t="s">
        <v>804</v>
      </c>
      <c r="G95" s="1625"/>
      <c r="H95" s="1674">
        <f>'Part VIII-Threshold Criteria'!K302</f>
        <v>0</v>
      </c>
      <c r="I95" s="1625"/>
      <c r="J95" s="1625"/>
      <c r="K95" s="1625" t="s">
        <v>2861</v>
      </c>
      <c r="L95" s="1625"/>
      <c r="M95" s="1625"/>
      <c r="N95" s="1678">
        <f>IF(H94=0,0,H95/H94)</f>
        <v>0</v>
      </c>
      <c r="O95" s="1636" t="s">
        <v>3723</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1859</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3723</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2394</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2000</v>
      </c>
      <c r="C101" s="1626" t="s">
        <v>2393</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2002</v>
      </c>
      <c r="C103" s="1622" t="s">
        <v>1546</v>
      </c>
      <c r="D103" s="1625"/>
      <c r="E103" s="1625"/>
      <c r="F103" s="1625"/>
      <c r="G103" s="1625"/>
      <c r="H103" s="1625"/>
      <c r="I103" s="1625"/>
      <c r="J103" s="1625"/>
      <c r="K103" s="1633" t="s">
        <v>877</v>
      </c>
      <c r="L103" s="1625"/>
      <c r="M103" s="1625"/>
      <c r="N103" s="1680"/>
      <c r="O103" s="1625"/>
      <c r="P103" s="1630" t="str">
        <f>'Part I-Project Information'!P92</f>
        <v>No</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2058</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2000</v>
      </c>
      <c r="C107" s="1622" t="s">
        <v>2728</v>
      </c>
      <c r="D107" s="1625"/>
      <c r="E107" s="1625"/>
      <c r="F107" s="1656" t="s">
        <v>2618</v>
      </c>
      <c r="G107" s="1625"/>
      <c r="H107" s="1630" t="str">
        <f>'Part I-Project Information'!H96</f>
        <v>No</v>
      </c>
      <c r="I107" s="1625"/>
      <c r="J107" s="1625"/>
      <c r="K107" s="1656" t="s">
        <v>3931</v>
      </c>
      <c r="L107" s="1630" t="str">
        <f>'Part I-Project Information'!L96</f>
        <v>Yes</v>
      </c>
      <c r="M107" s="1625"/>
      <c r="N107" s="1625"/>
      <c r="O107" s="1636" t="s">
        <v>3925</v>
      </c>
      <c r="P107" s="1630" t="str">
        <f>'Part I-Project Information'!P96</f>
        <v>No</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2002</v>
      </c>
      <c r="C109" s="1622" t="s">
        <v>2729</v>
      </c>
      <c r="D109" s="1625"/>
      <c r="E109" s="1625"/>
      <c r="F109" s="1633" t="s">
        <v>2697</v>
      </c>
      <c r="G109" s="1625"/>
      <c r="H109" s="1630" t="str">
        <f>'Part I-Project Information'!H98</f>
        <v>No</v>
      </c>
      <c r="I109" s="1681" t="s">
        <v>2730</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2803</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2246</v>
      </c>
      <c r="K117" s="1645"/>
      <c r="L117" s="1656"/>
      <c r="M117" s="1632" t="s">
        <v>3690</v>
      </c>
      <c r="N117" s="1632"/>
      <c r="O117" s="1683">
        <f>'Part I-Project Information'!O106</f>
        <v>0</v>
      </c>
      <c r="P117" s="1683">
        <f>'Part I-Project Information'!P106</f>
        <v>0</v>
      </c>
    </row>
    <row r="118" spans="1:16">
      <c r="A118" s="1625"/>
      <c r="B118" s="1625"/>
      <c r="C118" s="1625" t="s">
        <v>2211</v>
      </c>
      <c r="D118" s="1625"/>
      <c r="E118" s="1625">
        <f>'Part I-Project Information'!E107</f>
        <v>0</v>
      </c>
      <c r="F118" s="1656">
        <f>'Part I-Project Information'!F107</f>
        <v>0</v>
      </c>
      <c r="G118" s="1656">
        <f>'Part I-Project Information'!G107</f>
        <v>0</v>
      </c>
      <c r="H118" s="1630" t="s">
        <v>1997</v>
      </c>
      <c r="I118" s="1625">
        <f>'Part I-Project Information'!I107</f>
        <v>0</v>
      </c>
      <c r="J118" s="1656">
        <f>'Part I-Project Information'!J107</f>
        <v>0</v>
      </c>
      <c r="K118" s="1656">
        <f>'Part I-Project Information'!K107</f>
        <v>0</v>
      </c>
      <c r="L118" s="1630" t="s">
        <v>2001</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2210</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2724</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2170</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2000</v>
      </c>
      <c r="C125" s="1676" t="s">
        <v>1424</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2002</v>
      </c>
      <c r="C127" s="1676" t="s">
        <v>418</v>
      </c>
      <c r="D127" s="1644"/>
      <c r="E127" s="1644"/>
      <c r="F127" s="1630"/>
      <c r="G127" s="1630"/>
      <c r="H127" s="1685">
        <f>'Part I-Project Information'!H116</f>
        <v>923320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2152</v>
      </c>
      <c r="D130" s="1644"/>
      <c r="E130" s="1625"/>
      <c r="F130" s="1644" t="s">
        <v>1144</v>
      </c>
      <c r="G130" s="1630"/>
      <c r="H130" s="1630"/>
      <c r="I130" s="1630" t="s">
        <v>1306</v>
      </c>
      <c r="J130" s="1644" t="s">
        <v>2152</v>
      </c>
      <c r="K130" s="1644"/>
      <c r="L130" s="1625"/>
      <c r="M130" s="1644" t="s">
        <v>1144</v>
      </c>
      <c r="N130" s="1630"/>
      <c r="O130" s="1630"/>
      <c r="P130" s="1630" t="s">
        <v>1306</v>
      </c>
    </row>
    <row r="131" spans="1:16" ht="13.5">
      <c r="A131" s="1623"/>
      <c r="B131" s="1623"/>
      <c r="C131" s="1637" t="str">
        <f>'Part I-Project Information'!C120</f>
        <v>Kevin Buckner</v>
      </c>
      <c r="D131" s="1637">
        <f>'Part I-Project Information'!D120</f>
        <v>0</v>
      </c>
      <c r="E131" s="1637">
        <f>'Part I-Project Information'!E120</f>
        <v>0</v>
      </c>
      <c r="F131" s="1637" t="str">
        <f>'Part I-Project Information'!F120</f>
        <v>Grayling Place</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t="str">
        <f>'Part I-Project Information'!C121</f>
        <v>Brad Smith</v>
      </c>
      <c r="D132" s="1637">
        <f>'Part I-Project Information'!D121</f>
        <v>0</v>
      </c>
      <c r="E132" s="1637">
        <f>'Part I-Project Information'!E121</f>
        <v>0</v>
      </c>
      <c r="F132" s="1637" t="str">
        <f>'Part I-Project Information'!F121</f>
        <v>Grayling Place</v>
      </c>
      <c r="G132" s="1637">
        <f>'Part I-Project Information'!G121</f>
        <v>0</v>
      </c>
      <c r="H132" s="1637">
        <f>'Part I-Project Information'!H121</f>
        <v>0</v>
      </c>
      <c r="I132" s="1637" t="str">
        <f>'Part I-Project Information'!I121</f>
        <v>Direct</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3</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2132</v>
      </c>
      <c r="C138" s="1686" t="s">
        <v>1862</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2152</v>
      </c>
      <c r="D140" s="1644"/>
      <c r="E140" s="1625"/>
      <c r="F140" s="1644" t="s">
        <v>1144</v>
      </c>
      <c r="G140" s="1630"/>
      <c r="H140" s="1630"/>
      <c r="I140" s="1630"/>
      <c r="J140" s="1644" t="s">
        <v>2152</v>
      </c>
      <c r="K140" s="1644"/>
      <c r="L140" s="1625"/>
      <c r="M140" s="1644" t="s">
        <v>1144</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2435</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2000</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2437</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2438</v>
      </c>
      <c r="D154" s="1644"/>
      <c r="E154" s="1644"/>
      <c r="F154" s="1630"/>
      <c r="G154" s="1625"/>
      <c r="H154" s="1625"/>
      <c r="I154" s="1630">
        <f>'Part I-Project Information'!I143</f>
        <v>0</v>
      </c>
      <c r="J154" s="1625"/>
      <c r="K154" s="1632" t="s">
        <v>2262</v>
      </c>
      <c r="L154" s="1625"/>
      <c r="M154" s="1625"/>
      <c r="N154" s="1625"/>
      <c r="O154" s="1625" t="str">
        <f>'Part I-Project Information'!O143</f>
        <v>GA-</v>
      </c>
      <c r="P154" s="1625">
        <f>'Part I-Project Information'!P143</f>
        <v>0</v>
      </c>
    </row>
    <row r="155" spans="1:16">
      <c r="A155" s="1623"/>
      <c r="B155" s="1623"/>
      <c r="C155" s="1644" t="s">
        <v>2436</v>
      </c>
      <c r="D155" s="1625"/>
      <c r="E155" s="1625"/>
      <c r="F155" s="1630"/>
      <c r="G155" s="1625"/>
      <c r="H155" s="1625"/>
      <c r="I155" s="1630">
        <f>'Part I-Project Information'!I144</f>
        <v>0</v>
      </c>
      <c r="J155" s="1625"/>
      <c r="K155" s="1632" t="s">
        <v>2263</v>
      </c>
      <c r="L155" s="1625"/>
      <c r="M155" s="1625"/>
      <c r="N155" s="1625"/>
      <c r="O155" s="1625" t="str">
        <f>'Part I-Project Information'!O144</f>
        <v>GA-</v>
      </c>
      <c r="P155" s="1625">
        <f>'Part I-Project Information'!P144</f>
        <v>0</v>
      </c>
    </row>
    <row r="156" spans="1:16">
      <c r="A156" s="1623"/>
      <c r="B156" s="1623"/>
      <c r="C156" s="1644" t="s">
        <v>2183</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2002</v>
      </c>
      <c r="C158" s="1676" t="s">
        <v>2507</v>
      </c>
      <c r="D158" s="1644"/>
      <c r="E158" s="1644"/>
      <c r="F158" s="1630"/>
      <c r="G158" s="1625"/>
      <c r="H158" s="1625"/>
      <c r="I158" s="1650" t="str">
        <f>'Part I-Project Information'!I147</f>
        <v>No</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2721</v>
      </c>
      <c r="D160" s="1644"/>
      <c r="E160" s="1644"/>
      <c r="F160" s="1630"/>
      <c r="G160" s="1630"/>
      <c r="H160" s="1625"/>
      <c r="I160" s="1625"/>
      <c r="J160" s="1625"/>
      <c r="K160" s="1625"/>
      <c r="L160" s="1625"/>
      <c r="M160" s="1625"/>
      <c r="N160" s="1625"/>
      <c r="O160" s="1625"/>
      <c r="P160" s="1647"/>
    </row>
    <row r="161" spans="1:16">
      <c r="A161" s="1623"/>
      <c r="B161" s="1623"/>
      <c r="C161" s="1644" t="s">
        <v>4757</v>
      </c>
      <c r="D161" s="1644"/>
      <c r="E161" s="1644"/>
      <c r="F161" s="1630"/>
      <c r="G161" s="1630"/>
      <c r="H161" s="1625"/>
      <c r="I161" s="1650" t="str">
        <f>'Part I-Project Information'!I150</f>
        <v>No</v>
      </c>
      <c r="J161" s="1625"/>
      <c r="K161" s="1644" t="s">
        <v>1547</v>
      </c>
      <c r="L161" s="1644"/>
      <c r="M161" s="1630"/>
      <c r="N161" s="1630"/>
      <c r="O161" s="1650" t="str">
        <f>'Part I-Project Information'!O150</f>
        <v>No</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2000</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4758</v>
      </c>
      <c r="D168" s="1625"/>
      <c r="E168" s="1625"/>
      <c r="F168" s="1625"/>
      <c r="G168" s="1625"/>
      <c r="H168" s="1674">
        <f>'Part I-Project Information'!H157</f>
        <v>0</v>
      </c>
      <c r="I168" s="1631"/>
      <c r="J168" s="1689" t="s">
        <v>3754</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t="str">
        <f>'Part I-Project Information'!E158</f>
        <v>The Housing Authority of the City of Columbus</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t="str">
        <f>'Part I-Project Information'!M158</f>
        <v>J. Len Williams, Chief Executive Officer</v>
      </c>
      <c r="N169" s="1625">
        <f>'Part I-Project Information'!N158</f>
        <v>0</v>
      </c>
      <c r="O169" s="1625">
        <f>'Part I-Project Information'!O158</f>
        <v>0</v>
      </c>
      <c r="P169" s="1625">
        <f>'Part I-Project Information'!P158</f>
        <v>0</v>
      </c>
    </row>
    <row r="170" spans="1:16">
      <c r="A170" s="1623"/>
      <c r="B170" s="1623"/>
      <c r="C170" s="1633" t="s">
        <v>1811</v>
      </c>
      <c r="D170" s="1636"/>
      <c r="E170" s="1625" t="str">
        <f>'Part I-Project Information'!E159</f>
        <v>1000 Wynnton Road</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7065712807</v>
      </c>
      <c r="N170" s="1646">
        <f>'Part I-Project Information'!N159</f>
        <v>0</v>
      </c>
      <c r="O170" s="1646">
        <f>'Part I-Project Information'!O159</f>
        <v>0</v>
      </c>
      <c r="P170" s="1625"/>
    </row>
    <row r="171" spans="1:16">
      <c r="A171" s="1623"/>
      <c r="B171" s="1623"/>
      <c r="C171" s="1633" t="s">
        <v>624</v>
      </c>
      <c r="D171" s="1625"/>
      <c r="E171" s="1625" t="str">
        <f>'Part I-Project Information'!E160</f>
        <v>Columbus</v>
      </c>
      <c r="F171" s="1625">
        <f>'Part I-Project Information'!F160</f>
        <v>0</v>
      </c>
      <c r="G171" s="1625">
        <f>'Part I-Project Information'!G160</f>
        <v>0</v>
      </c>
      <c r="H171" s="1625">
        <f>'Part I-Project Information'!H160</f>
        <v>0</v>
      </c>
      <c r="I171" s="1630" t="s">
        <v>2246</v>
      </c>
      <c r="J171" s="1645">
        <f>'Part I-Project Information'!J160</f>
        <v>319062801</v>
      </c>
      <c r="K171" s="1645">
        <f>'Part I-Project Information'!K160</f>
        <v>0</v>
      </c>
      <c r="L171" s="1633" t="s">
        <v>1996</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7065712800</v>
      </c>
      <c r="F172" s="1646">
        <f>'Part I-Project Information'!F161</f>
        <v>0</v>
      </c>
      <c r="G172" s="1646">
        <f>'Part I-Project Information'!G161</f>
        <v>0</v>
      </c>
      <c r="H172" s="1630"/>
      <c r="I172" s="1630" t="s">
        <v>1813</v>
      </c>
      <c r="J172" s="1641" t="str">
        <f>'Part I-Project Information'!J161</f>
        <v>jlwilliams@columbushousing.org</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2002</v>
      </c>
      <c r="C174" s="1676" t="s">
        <v>2722</v>
      </c>
      <c r="D174" s="1676"/>
      <c r="E174" s="1676"/>
      <c r="F174" s="1676"/>
      <c r="G174" s="1676"/>
      <c r="H174" s="1625"/>
      <c r="I174" s="1650" t="str">
        <f>'Part I-Project Information'!I163</f>
        <v>No</v>
      </c>
      <c r="J174" s="1656" t="s">
        <v>769</v>
      </c>
      <c r="K174" s="1656"/>
      <c r="L174" s="1650">
        <f>'Part I-Project Information'!L163</f>
        <v>0</v>
      </c>
      <c r="M174" s="1625" t="s">
        <v>2343</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2723</v>
      </c>
      <c r="D176" s="1676"/>
      <c r="E176" s="1676"/>
      <c r="F176" s="1676"/>
      <c r="G176" s="1676"/>
      <c r="H176" s="1625"/>
      <c r="I176" s="1650" t="str">
        <f>'Part I-Project Information'!I165</f>
        <v>Yes</v>
      </c>
      <c r="J176" s="1656" t="s">
        <v>769</v>
      </c>
      <c r="K176" s="1656"/>
      <c r="L176" s="1650">
        <f>'Part I-Project Information'!L165</f>
        <v>2040</v>
      </c>
      <c r="M176" s="1625" t="s">
        <v>2343</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f>'Part I-Project Information'!I167</f>
        <v>0</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2132</v>
      </c>
      <c r="C180" s="1675" t="s">
        <v>1995</v>
      </c>
      <c r="D180" s="1675"/>
      <c r="E180" s="1675"/>
      <c r="F180" s="1675"/>
      <c r="G180" s="1676"/>
      <c r="H180" s="1625"/>
      <c r="I180" s="1650">
        <f>'Part I-Project Information'!I169</f>
        <v>0</v>
      </c>
      <c r="J180" s="1692" t="s">
        <v>2773</v>
      </c>
      <c r="K180" s="1625"/>
      <c r="L180" s="1656" t="s">
        <v>4759</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2229</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2230</v>
      </c>
      <c r="D185" s="1625"/>
      <c r="E185" s="1625"/>
      <c r="F185" s="1625"/>
      <c r="G185" s="1625"/>
      <c r="H185" s="1625"/>
      <c r="I185" s="1650" t="str">
        <f>'Part I-Project Information'!I174</f>
        <v>No</v>
      </c>
      <c r="J185" s="1625"/>
      <c r="K185" s="1625"/>
      <c r="L185" s="1625" t="s">
        <v>2865</v>
      </c>
      <c r="M185" s="1625"/>
      <c r="N185" s="1625"/>
      <c r="O185" s="1625"/>
      <c r="P185" s="1650" t="str">
        <f>'Part I-Project Information'!P174</f>
        <v>No</v>
      </c>
    </row>
    <row r="186" spans="1:16" ht="13.5">
      <c r="A186" s="1623"/>
      <c r="B186" s="1625"/>
      <c r="C186" s="1625" t="s">
        <v>2742</v>
      </c>
      <c r="D186" s="1625"/>
      <c r="E186" s="1625"/>
      <c r="F186" s="1625"/>
      <c r="G186" s="1625"/>
      <c r="H186" s="1625"/>
      <c r="I186" s="1650" t="str">
        <f>'Part I-Project Information'!I175</f>
        <v>No</v>
      </c>
      <c r="J186" s="1625"/>
      <c r="K186" s="1625"/>
      <c r="L186" s="1625" t="s">
        <v>2708</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No</v>
      </c>
      <c r="J187" s="1625"/>
      <c r="K187" s="1622"/>
      <c r="L187" s="1625" t="s">
        <v>3507</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2774</v>
      </c>
      <c r="K188" s="1625"/>
      <c r="L188" s="1625"/>
      <c r="M188" s="1625"/>
      <c r="N188" s="1625"/>
      <c r="O188" s="1696">
        <f>'Part I-Project Information'!O177</f>
        <v>0</v>
      </c>
      <c r="P188" s="1696">
        <f>'Part I-Project Information'!P177</f>
        <v>0</v>
      </c>
    </row>
    <row r="189" spans="1:16">
      <c r="A189" s="1623"/>
      <c r="B189" s="1623"/>
      <c r="C189" s="1625" t="s">
        <v>2923</v>
      </c>
      <c r="D189" s="1625"/>
      <c r="E189" s="1625"/>
      <c r="F189" s="1625"/>
      <c r="G189" s="1625"/>
      <c r="H189" s="1625"/>
      <c r="I189" s="1650" t="str">
        <f>'Part I-Project Information'!I178</f>
        <v>No</v>
      </c>
      <c r="J189" s="1692" t="s">
        <v>2774</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0</v>
      </c>
      <c r="I193" s="1682">
        <f>'Part I-Project Information'!I182</f>
        <v>0</v>
      </c>
      <c r="J193" s="1625"/>
      <c r="K193" s="1625"/>
      <c r="L193" s="1625"/>
      <c r="M193" s="1625"/>
      <c r="N193" s="1625"/>
      <c r="O193" s="1625"/>
      <c r="P193" s="1647"/>
    </row>
    <row r="194" spans="1:19">
      <c r="A194" s="1623"/>
      <c r="B194" s="1623"/>
      <c r="C194" s="1633" t="s">
        <v>2312</v>
      </c>
      <c r="D194" s="1644"/>
      <c r="E194" s="1644"/>
      <c r="F194" s="1630"/>
      <c r="G194" s="1630"/>
      <c r="H194" s="1682">
        <f>'Part I-Project Information'!H183</f>
        <v>44136</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2802</v>
      </c>
      <c r="B196" s="1675"/>
      <c r="C196" s="1673" t="s">
        <v>577</v>
      </c>
      <c r="D196" s="1632"/>
      <c r="E196" s="1632"/>
      <c r="F196" s="1632"/>
      <c r="G196" s="1632"/>
      <c r="H196" s="1632"/>
      <c r="I196" s="1632"/>
      <c r="J196" s="1632"/>
      <c r="K196" s="1632"/>
      <c r="L196" s="1632"/>
      <c r="M196" s="1673" t="s">
        <v>2268</v>
      </c>
      <c r="N196" s="1673" t="s">
        <v>80</v>
      </c>
      <c r="O196" s="1632"/>
      <c r="P196" s="1632"/>
    </row>
    <row r="197" spans="1:19" ht="12.75" customHeight="1">
      <c r="A197" s="1697" t="str">
        <f>'Part I-Project Information'!A186</f>
        <v xml:space="preserve">The Grayling Place development team is the exact same team that was qualified for Madison Heights Phase II  (2017-027) in 2017.    The Determination letter can be found in TAB 19.  The project will be placed in service in 2020.  We added 15 years for the Compliance Period, plus 5 more years.
Parking Requirements: 2 spaces per unit, 168 spaces.  Parking Provided: 170 spaces.
</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2018-021 Grayling Place,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4518</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1873</v>
      </c>
      <c r="C206" s="1626"/>
      <c r="D206" s="1625"/>
      <c r="E206" s="1626"/>
      <c r="F206" s="1626"/>
      <c r="G206" s="1626"/>
      <c r="H206" s="1627" t="s">
        <v>4315</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2000</v>
      </c>
      <c r="C208" s="1626" t="s">
        <v>1869</v>
      </c>
      <c r="D208" s="1625"/>
      <c r="E208" s="1625"/>
      <c r="F208" s="1625"/>
      <c r="G208" s="1625"/>
      <c r="H208" s="1625" t="str">
        <f>'Part II-Development Team'!H5</f>
        <v>Grayling Place,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2006</v>
      </c>
      <c r="P208" s="1633"/>
      <c r="Q208" s="1625" t="str">
        <f>'Part II-Development Team'!Q5</f>
        <v>Kevin Buckner</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3825 Paces Walk SE, Suite 100</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Manager</v>
      </c>
      <c r="R209" s="1625">
        <f>'Part II-Development Team'!R6</f>
        <v>0</v>
      </c>
      <c r="S209" s="1625">
        <f>'Part II-Development Team'!S6</f>
        <v>0</v>
      </c>
    </row>
    <row r="210" spans="1:19">
      <c r="A210" s="1625"/>
      <c r="B210" s="1625"/>
      <c r="C210" s="1625"/>
      <c r="D210" s="1698"/>
      <c r="E210" s="1633" t="s">
        <v>624</v>
      </c>
      <c r="F210" s="1625"/>
      <c r="G210" s="1625"/>
      <c r="H210" s="1625" t="str">
        <f>'Part II-Development Team'!H7</f>
        <v>Atlanta</v>
      </c>
      <c r="I210" s="1625">
        <f>'Part II-Development Team'!I7</f>
        <v>0</v>
      </c>
      <c r="J210" s="1625">
        <f>'Part II-Development Team'!J7</f>
        <v>0</v>
      </c>
      <c r="K210" s="1630" t="s">
        <v>770</v>
      </c>
      <c r="L210" s="1625" t="str">
        <f>'Part II-Development Team'!L7</f>
        <v>TBD</v>
      </c>
      <c r="M210" s="1625">
        <f>'Part II-Development Team'!M7</f>
        <v>0</v>
      </c>
      <c r="N210" s="1625">
        <f>'Part II-Development Team'!N7</f>
        <v>0</v>
      </c>
      <c r="O210" s="1633" t="s">
        <v>1734</v>
      </c>
      <c r="P210" s="1625"/>
      <c r="Q210" s="1646">
        <f>'Part II-Development Team'!Q7</f>
        <v>6783245550</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GA</v>
      </c>
      <c r="I211" s="1630" t="s">
        <v>2246</v>
      </c>
      <c r="J211" s="1645">
        <f>'Part II-Development Team'!J8</f>
        <v>303394002</v>
      </c>
      <c r="K211" s="1645">
        <f>'Part II-Development Team'!K8</f>
        <v>0</v>
      </c>
      <c r="L211" s="1625" t="s">
        <v>3715</v>
      </c>
      <c r="M211" s="1625" t="str">
        <f>'Part II-Development Team'!M8</f>
        <v>For Profit</v>
      </c>
      <c r="N211" s="1625">
        <f>'Part II-Development Team'!N8</f>
        <v>0</v>
      </c>
      <c r="O211" s="1633" t="s">
        <v>1996</v>
      </c>
      <c r="P211" s="1625"/>
      <c r="Q211" s="1646">
        <f>'Part II-Development Team'!Q8</f>
        <v>7708627333</v>
      </c>
      <c r="R211" s="1646">
        <f>'Part II-Development Team'!R8</f>
        <v>0</v>
      </c>
      <c r="S211" s="1646">
        <f>'Part II-Development Team'!S8</f>
        <v>0</v>
      </c>
    </row>
    <row r="212" spans="1:19">
      <c r="A212" s="1625"/>
      <c r="B212" s="1625"/>
      <c r="C212" s="1625"/>
      <c r="D212" s="1698"/>
      <c r="E212" s="1633" t="s">
        <v>4316</v>
      </c>
      <c r="F212" s="1625"/>
      <c r="G212" s="1625"/>
      <c r="H212" s="1646">
        <f>'Part II-Development Team'!H9</f>
        <v>6783245540</v>
      </c>
      <c r="I212" s="1646">
        <f>'Part II-Development Team'!I9</f>
        <v>0</v>
      </c>
      <c r="J212" s="1650">
        <f>'Part II-Development Team'!J9</f>
        <v>101</v>
      </c>
      <c r="K212" s="1630" t="s">
        <v>2001</v>
      </c>
      <c r="L212" s="1641" t="str">
        <f>'Part II-Development Team'!L9</f>
        <v>kbuckner@tbgresidential.com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4315</v>
      </c>
      <c r="F213" s="1625"/>
      <c r="G213" s="1625"/>
      <c r="H213" s="1690"/>
      <c r="I213" s="1625"/>
      <c r="J213" s="1625"/>
      <c r="K213" s="1637"/>
      <c r="L213" s="1625"/>
      <c r="M213" s="1625"/>
      <c r="N213" s="1622" t="s">
        <v>4543</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2002</v>
      </c>
      <c r="C215" s="1626" t="s">
        <v>1870</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2003</v>
      </c>
      <c r="D216" s="1675" t="s">
        <v>2004</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2133</v>
      </c>
      <c r="E217" s="1625" t="s">
        <v>1871</v>
      </c>
      <c r="F217" s="1625"/>
      <c r="G217" s="1625"/>
      <c r="H217" s="1625" t="str">
        <f>'Part II-Development Team'!H14</f>
        <v>TBG Grayling Place,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2006</v>
      </c>
      <c r="P217" s="1633"/>
      <c r="Q217" s="1625" t="str">
        <f>'Part II-Development Team'!Q14</f>
        <v>Kevin Buckner</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3825 Paces Walk SE, Suite 100</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Managing Member</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Atlanta</v>
      </c>
      <c r="I219" s="1625">
        <f>'Part II-Development Team'!I16</f>
        <v>0</v>
      </c>
      <c r="J219" s="1625">
        <f>'Part II-Development Team'!J16</f>
        <v>0</v>
      </c>
      <c r="K219" s="1630" t="s">
        <v>2724</v>
      </c>
      <c r="L219" s="1625" t="str">
        <f>'Part II-Development Team'!L16</f>
        <v>www.tbgresidential.com</v>
      </c>
      <c r="M219" s="1625">
        <f>'Part II-Development Team'!M16</f>
        <v>0</v>
      </c>
      <c r="N219" s="1625">
        <f>'Part II-Development Team'!N16</f>
        <v>0</v>
      </c>
      <c r="O219" s="1633" t="s">
        <v>1734</v>
      </c>
      <c r="P219" s="1625"/>
      <c r="Q219" s="1646">
        <f>'Part II-Development Team'!Q16</f>
        <v>6783245550</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GA</v>
      </c>
      <c r="I220" s="1625"/>
      <c r="J220" s="1625"/>
      <c r="K220" s="1630" t="s">
        <v>2246</v>
      </c>
      <c r="L220" s="1645">
        <f>'Part II-Development Team'!L17</f>
        <v>303394002</v>
      </c>
      <c r="M220" s="1645">
        <f>'Part II-Development Team'!M17</f>
        <v>0</v>
      </c>
      <c r="N220" s="1625"/>
      <c r="O220" s="1633" t="s">
        <v>1996</v>
      </c>
      <c r="P220" s="1625"/>
      <c r="Q220" s="1646">
        <f>'Part II-Development Team'!Q17</f>
        <v>7708627333</v>
      </c>
      <c r="R220" s="1646">
        <f>'Part II-Development Team'!R17</f>
        <v>0</v>
      </c>
      <c r="S220" s="1646">
        <f>'Part II-Development Team'!S17</f>
        <v>0</v>
      </c>
    </row>
    <row r="221" spans="1:19">
      <c r="A221" s="1625"/>
      <c r="B221" s="1625"/>
      <c r="C221" s="1625"/>
      <c r="D221" s="1698"/>
      <c r="E221" s="1633" t="s">
        <v>4316</v>
      </c>
      <c r="F221" s="1625"/>
      <c r="G221" s="1625"/>
      <c r="H221" s="1646">
        <f>'Part II-Development Team'!H18</f>
        <v>6783245540</v>
      </c>
      <c r="I221" s="1646">
        <f>'Part II-Development Team'!I18</f>
        <v>0</v>
      </c>
      <c r="J221" s="1650">
        <f>'Part II-Development Team'!J18</f>
        <v>101</v>
      </c>
      <c r="K221" s="1630" t="s">
        <v>2001</v>
      </c>
      <c r="L221" s="1641" t="str">
        <f>'Part II-Development Team'!L18</f>
        <v>kbuckner@tbgresidential.com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2134</v>
      </c>
      <c r="E223" s="1625" t="s">
        <v>1872</v>
      </c>
      <c r="F223" s="1625"/>
      <c r="G223" s="1625"/>
      <c r="H223" s="1625">
        <f>'Part II-Development Team'!H20</f>
        <v>0</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2006</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2724</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2246</v>
      </c>
      <c r="L226" s="1645">
        <f>'Part II-Development Team'!L23</f>
        <v>0</v>
      </c>
      <c r="M226" s="1645">
        <f>'Part II-Development Team'!M23</f>
        <v>0</v>
      </c>
      <c r="N226" s="1625"/>
      <c r="O226" s="1633" t="s">
        <v>1996</v>
      </c>
      <c r="P226" s="1625"/>
      <c r="Q226" s="1646">
        <f>'Part II-Development Team'!Q23</f>
        <v>0</v>
      </c>
      <c r="R226" s="1646">
        <f>'Part II-Development Team'!R23</f>
        <v>0</v>
      </c>
      <c r="S226" s="1646">
        <f>'Part II-Development Team'!S23</f>
        <v>0</v>
      </c>
    </row>
    <row r="227" spans="1:19">
      <c r="A227" s="1625"/>
      <c r="B227" s="1625"/>
      <c r="C227" s="1625"/>
      <c r="D227" s="1698"/>
      <c r="E227" s="1633" t="s">
        <v>4316</v>
      </c>
      <c r="F227" s="1625"/>
      <c r="G227" s="1625"/>
      <c r="H227" s="1646">
        <f>'Part II-Development Team'!H24</f>
        <v>0</v>
      </c>
      <c r="I227" s="1646">
        <f>'Part II-Development Team'!I24</f>
        <v>0</v>
      </c>
      <c r="J227" s="1650">
        <f>'Part II-Development Team'!J24</f>
        <v>0</v>
      </c>
      <c r="K227" s="1630" t="s">
        <v>2001</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1872</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2006</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2724</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2246</v>
      </c>
      <c r="L232" s="1645">
        <f>'Part II-Development Team'!L29</f>
        <v>0</v>
      </c>
      <c r="M232" s="1645">
        <f>'Part II-Development Team'!M29</f>
        <v>0</v>
      </c>
      <c r="N232" s="1625"/>
      <c r="O232" s="1633" t="s">
        <v>1996</v>
      </c>
      <c r="P232" s="1625"/>
      <c r="Q232" s="1646">
        <f>'Part II-Development Team'!Q29</f>
        <v>0</v>
      </c>
      <c r="R232" s="1646">
        <f>'Part II-Development Team'!R29</f>
        <v>0</v>
      </c>
      <c r="S232" s="1646">
        <f>'Part II-Development Team'!S29</f>
        <v>0</v>
      </c>
    </row>
    <row r="233" spans="1:19">
      <c r="A233" s="1625"/>
      <c r="B233" s="1625"/>
      <c r="C233" s="1625"/>
      <c r="D233" s="1698"/>
      <c r="E233" s="1633" t="s">
        <v>4316</v>
      </c>
      <c r="F233" s="1625"/>
      <c r="G233" s="1625"/>
      <c r="H233" s="1646">
        <f>'Part II-Development Team'!H30</f>
        <v>0</v>
      </c>
      <c r="I233" s="1646">
        <f>'Part II-Development Team'!I30</f>
        <v>0</v>
      </c>
      <c r="J233" s="1650">
        <f>'Part II-Development Team'!J30</f>
        <v>0</v>
      </c>
      <c r="K233" s="1630" t="s">
        <v>2001</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2005</v>
      </c>
      <c r="D235" s="1675" t="s">
        <v>1874</v>
      </c>
      <c r="E235" s="1625"/>
      <c r="F235" s="1625"/>
      <c r="G235" s="1625"/>
      <c r="H235" s="1625"/>
      <c r="I235" s="1625"/>
      <c r="J235" s="1625"/>
      <c r="K235" s="1627" t="s">
        <v>4315</v>
      </c>
      <c r="L235" s="1625"/>
      <c r="M235" s="1625"/>
      <c r="N235" s="1625"/>
      <c r="O235" s="1625"/>
      <c r="P235" s="1625"/>
      <c r="Q235" s="1625"/>
      <c r="R235" s="1625"/>
      <c r="S235" s="1625"/>
    </row>
    <row r="236" spans="1:19">
      <c r="A236" s="1625"/>
      <c r="B236" s="1625"/>
      <c r="C236" s="1625"/>
      <c r="D236" s="1622" t="s">
        <v>2133</v>
      </c>
      <c r="E236" s="1625" t="s">
        <v>758</v>
      </c>
      <c r="F236" s="1625"/>
      <c r="G236" s="1625"/>
      <c r="H236" s="1625" t="str">
        <f>'Part II-Development Team'!H33</f>
        <v>Regions Bank</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2006</v>
      </c>
      <c r="P236" s="1633"/>
      <c r="Q236" s="1625" t="str">
        <f>'Part II-Development Team'!Q33</f>
        <v>Reed Dolihite</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1900 5th Avenue North,15th Floor</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Birmingham</v>
      </c>
      <c r="I238" s="1625">
        <f>'Part II-Development Team'!I35</f>
        <v>0</v>
      </c>
      <c r="J238" s="1625">
        <f>'Part II-Development Team'!J35</f>
        <v>0</v>
      </c>
      <c r="K238" s="1630" t="s">
        <v>2724</v>
      </c>
      <c r="L238" s="1625" t="str">
        <f>'Part II-Development Team'!L35</f>
        <v>www.regions.com</v>
      </c>
      <c r="M238" s="1625">
        <f>'Part II-Development Team'!M35</f>
        <v>0</v>
      </c>
      <c r="N238" s="1625">
        <f>'Part II-Development Team'!N35</f>
        <v>0</v>
      </c>
      <c r="O238" s="1633" t="s">
        <v>1734</v>
      </c>
      <c r="P238" s="1625"/>
      <c r="Q238" s="1646">
        <f>'Part II-Development Team'!Q35</f>
        <v>2052644017</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AL</v>
      </c>
      <c r="I239" s="1625"/>
      <c r="J239" s="1625"/>
      <c r="K239" s="1630" t="s">
        <v>2246</v>
      </c>
      <c r="L239" s="1645">
        <f>'Part II-Development Team'!L36</f>
        <v>352032609</v>
      </c>
      <c r="M239" s="1645">
        <f>'Part II-Development Team'!M36</f>
        <v>0</v>
      </c>
      <c r="N239" s="1625"/>
      <c r="O239" s="1633" t="s">
        <v>1996</v>
      </c>
      <c r="P239" s="1625"/>
      <c r="Q239" s="1646">
        <f>'Part II-Development Team'!Q36</f>
        <v>2053063451</v>
      </c>
      <c r="R239" s="1646">
        <f>'Part II-Development Team'!R36</f>
        <v>0</v>
      </c>
      <c r="S239" s="1646">
        <f>'Part II-Development Team'!S36</f>
        <v>0</v>
      </c>
    </row>
    <row r="240" spans="1:19">
      <c r="A240" s="1625"/>
      <c r="B240" s="1625"/>
      <c r="C240" s="1625"/>
      <c r="D240" s="1698"/>
      <c r="E240" s="1633" t="s">
        <v>4316</v>
      </c>
      <c r="F240" s="1625"/>
      <c r="G240" s="1625"/>
      <c r="H240" s="1646">
        <f>'Part II-Development Team'!H37</f>
        <v>2052644017</v>
      </c>
      <c r="I240" s="1646">
        <f>'Part II-Development Team'!I37</f>
        <v>0</v>
      </c>
      <c r="J240" s="1650">
        <f>'Part II-Development Team'!J37</f>
        <v>0</v>
      </c>
      <c r="K240" s="1630" t="s">
        <v>2001</v>
      </c>
      <c r="L240" s="1641" t="str">
        <f>'Part II-Development Team'!L37</f>
        <v>reed.dolihite@regions.com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2134</v>
      </c>
      <c r="E242" s="1625" t="s">
        <v>759</v>
      </c>
      <c r="F242" s="1622"/>
      <c r="G242" s="1625"/>
      <c r="H242" s="1625" t="str">
        <f>'Part II-Development Team'!H39</f>
        <v>TBG Grayling Place  Investments, LLC</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2006</v>
      </c>
      <c r="P242" s="1633"/>
      <c r="Q242" s="1625" t="str">
        <f>'Part II-Development Team'!Q39</f>
        <v>Kevin Buckner</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3825 Paces Walk SE, Suite 100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Managing Member</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Atlanta</v>
      </c>
      <c r="I244" s="1625">
        <f>'Part II-Development Team'!I41</f>
        <v>0</v>
      </c>
      <c r="J244" s="1625">
        <f>'Part II-Development Team'!J41</f>
        <v>0</v>
      </c>
      <c r="K244" s="1630" t="s">
        <v>2724</v>
      </c>
      <c r="L244" s="1625" t="str">
        <f>'Part II-Development Team'!L41</f>
        <v>www.tbgresidential.com</v>
      </c>
      <c r="M244" s="1625">
        <f>'Part II-Development Team'!M41</f>
        <v>0</v>
      </c>
      <c r="N244" s="1625">
        <f>'Part II-Development Team'!N41</f>
        <v>0</v>
      </c>
      <c r="O244" s="1633" t="s">
        <v>1734</v>
      </c>
      <c r="P244" s="1625"/>
      <c r="Q244" s="1646">
        <f>'Part II-Development Team'!Q41</f>
        <v>6783245550</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GA</v>
      </c>
      <c r="I245" s="1625"/>
      <c r="J245" s="1625"/>
      <c r="K245" s="1630" t="s">
        <v>2246</v>
      </c>
      <c r="L245" s="1645">
        <f>'Part II-Development Team'!L42</f>
        <v>303394002</v>
      </c>
      <c r="M245" s="1645">
        <f>'Part II-Development Team'!M42</f>
        <v>0</v>
      </c>
      <c r="N245" s="1625"/>
      <c r="O245" s="1633" t="s">
        <v>1996</v>
      </c>
      <c r="P245" s="1625"/>
      <c r="Q245" s="1646">
        <f>'Part II-Development Team'!Q42</f>
        <v>7708627333</v>
      </c>
      <c r="R245" s="1646">
        <f>'Part II-Development Team'!R42</f>
        <v>0</v>
      </c>
      <c r="S245" s="1646">
        <f>'Part II-Development Team'!S42</f>
        <v>0</v>
      </c>
    </row>
    <row r="246" spans="1:19">
      <c r="A246" s="1625"/>
      <c r="B246" s="1625"/>
      <c r="C246" s="1625"/>
      <c r="D246" s="1698"/>
      <c r="E246" s="1633" t="s">
        <v>4316</v>
      </c>
      <c r="F246" s="1625"/>
      <c r="G246" s="1625"/>
      <c r="H246" s="1646">
        <f>'Part II-Development Team'!H43</f>
        <v>6783245540</v>
      </c>
      <c r="I246" s="1646">
        <f>'Part II-Development Team'!I43</f>
        <v>0</v>
      </c>
      <c r="J246" s="1650">
        <f>'Part II-Development Team'!J43</f>
        <v>101</v>
      </c>
      <c r="K246" s="1630" t="s">
        <v>2001</v>
      </c>
      <c r="L246" s="1641" t="str">
        <f>'Part II-Development Team'!L43</f>
        <v>kbuckner@tbgresidential.com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2552</v>
      </c>
      <c r="D248" s="1675" t="s">
        <v>657</v>
      </c>
      <c r="E248" s="1625"/>
      <c r="F248" s="1625"/>
      <c r="G248" s="1625"/>
      <c r="H248" s="1625"/>
      <c r="I248" s="1625"/>
      <c r="J248" s="1625"/>
      <c r="K248" s="1627" t="s">
        <v>4315</v>
      </c>
      <c r="L248" s="1625"/>
      <c r="M248" s="1625"/>
      <c r="N248" s="1625"/>
      <c r="O248" s="1625"/>
      <c r="P248" s="1625"/>
      <c r="Q248" s="1625"/>
      <c r="R248" s="1625"/>
      <c r="S248" s="1625"/>
    </row>
    <row r="249" spans="1:19">
      <c r="A249" s="1625"/>
      <c r="B249" s="1625"/>
      <c r="C249" s="1625"/>
      <c r="D249" s="1625"/>
      <c r="E249" s="1625" t="s">
        <v>93</v>
      </c>
      <c r="F249" s="1625"/>
      <c r="G249" s="1625"/>
      <c r="H249" s="1625">
        <f>'Part II-Development Team'!H46</f>
        <v>0</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2006</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2724</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2246</v>
      </c>
      <c r="L252" s="1645">
        <f>'Part II-Development Team'!L49</f>
        <v>0</v>
      </c>
      <c r="M252" s="1645">
        <f>'Part II-Development Team'!M49</f>
        <v>0</v>
      </c>
      <c r="N252" s="1625"/>
      <c r="O252" s="1633" t="s">
        <v>1996</v>
      </c>
      <c r="P252" s="1625"/>
      <c r="Q252" s="1646">
        <f>'Part II-Development Team'!Q49</f>
        <v>0</v>
      </c>
      <c r="R252" s="1646">
        <f>'Part II-Development Team'!R49</f>
        <v>0</v>
      </c>
      <c r="S252" s="1646">
        <f>'Part II-Development Team'!S49</f>
        <v>0</v>
      </c>
    </row>
    <row r="253" spans="1:19">
      <c r="A253" s="1625"/>
      <c r="B253" s="1625"/>
      <c r="C253" s="1625"/>
      <c r="D253" s="1698"/>
      <c r="E253" s="1633" t="s">
        <v>4316</v>
      </c>
      <c r="F253" s="1625"/>
      <c r="G253" s="1625"/>
      <c r="H253" s="1646">
        <f>'Part II-Development Team'!H50</f>
        <v>0</v>
      </c>
      <c r="I253" s="1646">
        <f>'Part II-Development Team'!I50</f>
        <v>0</v>
      </c>
      <c r="J253" s="1650">
        <f>'Part II-Development Team'!J50</f>
        <v>0</v>
      </c>
      <c r="K253" s="1630" t="s">
        <v>2001</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4315</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2000</v>
      </c>
      <c r="C257" s="1622" t="s">
        <v>284</v>
      </c>
      <c r="D257" s="1625"/>
      <c r="E257" s="1625"/>
      <c r="F257" s="1625"/>
      <c r="G257" s="1625"/>
      <c r="H257" s="1625" t="str">
        <f>'Part II-Development Team'!H54</f>
        <v>MHL, Inc. DBA TBG Residential</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2006</v>
      </c>
      <c r="P257" s="1633"/>
      <c r="Q257" s="1625" t="str">
        <f>'Part II-Development Team'!Q54</f>
        <v>Kevin Buckner</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3825 Paces Walk SE, Suite 100</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President</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Atlanta</v>
      </c>
      <c r="I259" s="1625">
        <f>'Part II-Development Team'!I56</f>
        <v>0</v>
      </c>
      <c r="J259" s="1625">
        <f>'Part II-Development Team'!J56</f>
        <v>0</v>
      </c>
      <c r="K259" s="1630" t="s">
        <v>2724</v>
      </c>
      <c r="L259" s="1625" t="str">
        <f>'Part II-Development Team'!L56</f>
        <v>www.tbgresidential.com</v>
      </c>
      <c r="M259" s="1625">
        <f>'Part II-Development Team'!M56</f>
        <v>0</v>
      </c>
      <c r="N259" s="1625">
        <f>'Part II-Development Team'!N56</f>
        <v>0</v>
      </c>
      <c r="O259" s="1633" t="s">
        <v>1734</v>
      </c>
      <c r="P259" s="1625"/>
      <c r="Q259" s="1646">
        <f>'Part II-Development Team'!Q56</f>
        <v>6783245550</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GA</v>
      </c>
      <c r="I260" s="1625"/>
      <c r="J260" s="1625"/>
      <c r="K260" s="1630" t="s">
        <v>2246</v>
      </c>
      <c r="L260" s="1645">
        <f>'Part II-Development Team'!L57</f>
        <v>303394002</v>
      </c>
      <c r="M260" s="1645">
        <f>'Part II-Development Team'!M57</f>
        <v>0</v>
      </c>
      <c r="N260" s="1625"/>
      <c r="O260" s="1633" t="s">
        <v>1996</v>
      </c>
      <c r="P260" s="1625"/>
      <c r="Q260" s="1646">
        <f>'Part II-Development Team'!Q57</f>
        <v>7708627333</v>
      </c>
      <c r="R260" s="1646">
        <f>'Part II-Development Team'!R57</f>
        <v>0</v>
      </c>
      <c r="S260" s="1646">
        <f>'Part II-Development Team'!S57</f>
        <v>0</v>
      </c>
    </row>
    <row r="261" spans="1:19">
      <c r="A261" s="1625"/>
      <c r="B261" s="1625"/>
      <c r="C261" s="1625"/>
      <c r="D261" s="1698"/>
      <c r="E261" s="1633" t="s">
        <v>4316</v>
      </c>
      <c r="F261" s="1625"/>
      <c r="G261" s="1625"/>
      <c r="H261" s="1646">
        <f>'Part II-Development Team'!H58</f>
        <v>6783245540</v>
      </c>
      <c r="I261" s="1646">
        <f>'Part II-Development Team'!I58</f>
        <v>0</v>
      </c>
      <c r="J261" s="1650">
        <f>'Part II-Development Team'!J58</f>
        <v>101</v>
      </c>
      <c r="K261" s="1630" t="s">
        <v>2001</v>
      </c>
      <c r="L261" s="1641" t="str">
        <f>'Part II-Development Team'!L58</f>
        <v>kbuckner@tbgresidential.com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2002</v>
      </c>
      <c r="C263" s="1622" t="s">
        <v>285</v>
      </c>
      <c r="D263" s="1625"/>
      <c r="E263" s="1625"/>
      <c r="F263" s="1625"/>
      <c r="G263" s="1625"/>
      <c r="H263" s="1625">
        <f>'Part II-Development Team'!H60</f>
        <v>0</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2006</v>
      </c>
      <c r="P263" s="1633"/>
      <c r="Q263" s="1625">
        <f>'Part II-Development Team'!Q60</f>
        <v>0</v>
      </c>
      <c r="R263" s="1625">
        <f>'Part II-Development Team'!R60</f>
        <v>0</v>
      </c>
      <c r="S263" s="1625">
        <f>'Part II-Development Team'!S60</f>
        <v>0</v>
      </c>
    </row>
    <row r="264" spans="1:19">
      <c r="A264" s="1625"/>
      <c r="B264" s="1625"/>
      <c r="C264" s="1625"/>
      <c r="D264" s="1698"/>
      <c r="E264" s="1633" t="s">
        <v>1031</v>
      </c>
      <c r="F264" s="1636"/>
      <c r="G264" s="1625"/>
      <c r="H264" s="1625">
        <f>'Part II-Development Team'!H61</f>
        <v>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f>'Part II-Development Team'!Q61</f>
        <v>0</v>
      </c>
      <c r="R264" s="1625">
        <f>'Part II-Development Team'!R61</f>
        <v>0</v>
      </c>
      <c r="S264" s="1625">
        <f>'Part II-Development Team'!S61</f>
        <v>0</v>
      </c>
    </row>
    <row r="265" spans="1:19">
      <c r="A265" s="1625"/>
      <c r="B265" s="1625"/>
      <c r="C265" s="1625"/>
      <c r="D265" s="1698"/>
      <c r="E265" s="1633" t="s">
        <v>624</v>
      </c>
      <c r="F265" s="1625"/>
      <c r="G265" s="1625"/>
      <c r="H265" s="1625">
        <f>'Part II-Development Team'!H62</f>
        <v>0</v>
      </c>
      <c r="I265" s="1625">
        <f>'Part II-Development Team'!I62</f>
        <v>0</v>
      </c>
      <c r="J265" s="1625">
        <f>'Part II-Development Team'!J62</f>
        <v>0</v>
      </c>
      <c r="K265" s="1630" t="s">
        <v>2724</v>
      </c>
      <c r="L265" s="1625">
        <f>'Part II-Development Team'!L62</f>
        <v>0</v>
      </c>
      <c r="M265" s="1625">
        <f>'Part II-Development Team'!M62</f>
        <v>0</v>
      </c>
      <c r="N265" s="1625">
        <f>'Part II-Development Team'!N62</f>
        <v>0</v>
      </c>
      <c r="O265" s="1633" t="s">
        <v>1734</v>
      </c>
      <c r="P265" s="1625"/>
      <c r="Q265" s="1646">
        <f>'Part II-Development Team'!Q62</f>
        <v>0</v>
      </c>
      <c r="R265" s="1646">
        <f>'Part II-Development Team'!R62</f>
        <v>0</v>
      </c>
      <c r="S265" s="1646">
        <f>'Part II-Development Team'!S62</f>
        <v>0</v>
      </c>
    </row>
    <row r="266" spans="1:19">
      <c r="A266" s="1625"/>
      <c r="B266" s="1625"/>
      <c r="C266" s="1625"/>
      <c r="D266" s="1625"/>
      <c r="E266" s="1633" t="s">
        <v>1812</v>
      </c>
      <c r="F266" s="1625"/>
      <c r="G266" s="1625"/>
      <c r="H266" s="1633">
        <f>'Part II-Development Team'!H63</f>
        <v>0</v>
      </c>
      <c r="I266" s="1625"/>
      <c r="J266" s="1625"/>
      <c r="K266" s="1630" t="s">
        <v>2246</v>
      </c>
      <c r="L266" s="1645">
        <f>'Part II-Development Team'!L63</f>
        <v>0</v>
      </c>
      <c r="M266" s="1645">
        <f>'Part II-Development Team'!M63</f>
        <v>0</v>
      </c>
      <c r="N266" s="1625"/>
      <c r="O266" s="1633" t="s">
        <v>1996</v>
      </c>
      <c r="P266" s="1625"/>
      <c r="Q266" s="1646">
        <f>'Part II-Development Team'!Q63</f>
        <v>0</v>
      </c>
      <c r="R266" s="1646">
        <f>'Part II-Development Team'!R63</f>
        <v>0</v>
      </c>
      <c r="S266" s="1646">
        <f>'Part II-Development Team'!S63</f>
        <v>0</v>
      </c>
    </row>
    <row r="267" spans="1:19">
      <c r="A267" s="1625"/>
      <c r="B267" s="1625"/>
      <c r="C267" s="1625"/>
      <c r="D267" s="1698"/>
      <c r="E267" s="1633" t="s">
        <v>4316</v>
      </c>
      <c r="F267" s="1625"/>
      <c r="G267" s="1625"/>
      <c r="H267" s="1646">
        <f>'Part II-Development Team'!H64</f>
        <v>0</v>
      </c>
      <c r="I267" s="1646">
        <f>'Part II-Development Team'!I64</f>
        <v>0</v>
      </c>
      <c r="J267" s="1650">
        <f>'Part II-Development Team'!J64</f>
        <v>0</v>
      </c>
      <c r="K267" s="1630" t="s">
        <v>2001</v>
      </c>
      <c r="L267" s="1641">
        <f>'Part II-Development Team'!L64</f>
        <v>0</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2006</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2724</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2246</v>
      </c>
      <c r="L272" s="1645">
        <f>'Part II-Development Team'!L69</f>
        <v>0</v>
      </c>
      <c r="M272" s="1645">
        <f>'Part II-Development Team'!M69</f>
        <v>0</v>
      </c>
      <c r="N272" s="1625"/>
      <c r="O272" s="1633" t="s">
        <v>1996</v>
      </c>
      <c r="P272" s="1625"/>
      <c r="Q272" s="1646">
        <f>'Part II-Development Team'!Q69</f>
        <v>0</v>
      </c>
      <c r="R272" s="1646">
        <f>'Part II-Development Team'!R69</f>
        <v>0</v>
      </c>
      <c r="S272" s="1646">
        <f>'Part II-Development Team'!S69</f>
        <v>0</v>
      </c>
    </row>
    <row r="273" spans="1:19">
      <c r="A273" s="1625"/>
      <c r="B273" s="1625"/>
      <c r="C273" s="1625"/>
      <c r="D273" s="1698"/>
      <c r="E273" s="1633" t="s">
        <v>4316</v>
      </c>
      <c r="F273" s="1625"/>
      <c r="G273" s="1625"/>
      <c r="H273" s="1646">
        <f>'Part II-Development Team'!H70</f>
        <v>0</v>
      </c>
      <c r="I273" s="1646">
        <f>'Part II-Development Team'!I70</f>
        <v>0</v>
      </c>
      <c r="J273" s="1650">
        <f>'Part II-Development Team'!J70</f>
        <v>0</v>
      </c>
      <c r="K273" s="1630" t="s">
        <v>2001</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2132</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2006</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2724</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2246</v>
      </c>
      <c r="L278" s="1645">
        <f>'Part II-Development Team'!L75</f>
        <v>0</v>
      </c>
      <c r="M278" s="1645">
        <f>'Part II-Development Team'!M75</f>
        <v>0</v>
      </c>
      <c r="N278" s="1625"/>
      <c r="O278" s="1633" t="s">
        <v>1996</v>
      </c>
      <c r="P278" s="1625"/>
      <c r="Q278" s="1646">
        <f>'Part II-Development Team'!Q75</f>
        <v>0</v>
      </c>
      <c r="R278" s="1646">
        <f>'Part II-Development Team'!R75</f>
        <v>0</v>
      </c>
      <c r="S278" s="1646">
        <f>'Part II-Development Team'!S75</f>
        <v>0</v>
      </c>
    </row>
    <row r="279" spans="1:19">
      <c r="A279" s="1625"/>
      <c r="B279" s="1625"/>
      <c r="C279" s="1625"/>
      <c r="D279" s="1698"/>
      <c r="E279" s="1633" t="s">
        <v>4316</v>
      </c>
      <c r="F279" s="1625"/>
      <c r="G279" s="1625"/>
      <c r="H279" s="1646">
        <f>'Part II-Development Team'!H76</f>
        <v>0</v>
      </c>
      <c r="I279" s="1646">
        <f>'Part II-Development Team'!I76</f>
        <v>0</v>
      </c>
      <c r="J279" s="1650">
        <f>'Part II-Development Team'!J76</f>
        <v>0</v>
      </c>
      <c r="K279" s="1630" t="s">
        <v>2001</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4315</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2000</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2006</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2724</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2246</v>
      </c>
      <c r="L286" s="1645">
        <f>'Part II-Development Team'!L83</f>
        <v>0</v>
      </c>
      <c r="M286" s="1645">
        <f>'Part II-Development Team'!M83</f>
        <v>0</v>
      </c>
      <c r="N286" s="1625"/>
      <c r="O286" s="1633" t="s">
        <v>1996</v>
      </c>
      <c r="P286" s="1625"/>
      <c r="Q286" s="1646">
        <f>'Part II-Development Team'!Q83</f>
        <v>0</v>
      </c>
      <c r="R286" s="1646">
        <f>'Part II-Development Team'!R83</f>
        <v>0</v>
      </c>
      <c r="S286" s="1646">
        <f>'Part II-Development Team'!S83</f>
        <v>0</v>
      </c>
    </row>
    <row r="287" spans="1:19">
      <c r="A287" s="1625"/>
      <c r="B287" s="1625"/>
      <c r="C287" s="1625"/>
      <c r="D287" s="1698"/>
      <c r="E287" s="1633" t="s">
        <v>4316</v>
      </c>
      <c r="F287" s="1625"/>
      <c r="G287" s="1625"/>
      <c r="H287" s="1646">
        <f>'Part II-Development Team'!H84</f>
        <v>0</v>
      </c>
      <c r="I287" s="1646">
        <f>'Part II-Development Team'!I84</f>
        <v>0</v>
      </c>
      <c r="J287" s="1650">
        <f>'Part II-Development Team'!J84</f>
        <v>0</v>
      </c>
      <c r="K287" s="1630" t="s">
        <v>2001</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2002</v>
      </c>
      <c r="C289" s="1622" t="s">
        <v>289</v>
      </c>
      <c r="D289" s="1625"/>
      <c r="E289" s="1625"/>
      <c r="F289" s="1625"/>
      <c r="G289" s="1625"/>
      <c r="H289" s="1625" t="str">
        <f>'Part II-Development Team'!H86</f>
        <v>Hunter's Walk Home Center, Inc. DBA TBG Construction</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2006</v>
      </c>
      <c r="P289" s="1633"/>
      <c r="Q289" s="1625" t="str">
        <f>'Part II-Development Team'!Q86</f>
        <v>Kevin Buckner</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3825 Paces Walk SE, Suite 100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President</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Atlanta</v>
      </c>
      <c r="I291" s="1625">
        <f>'Part II-Development Team'!I88</f>
        <v>0</v>
      </c>
      <c r="J291" s="1625">
        <f>'Part II-Development Team'!J88</f>
        <v>0</v>
      </c>
      <c r="K291" s="1630" t="s">
        <v>2724</v>
      </c>
      <c r="L291" s="1625" t="str">
        <f>'Part II-Development Team'!L88</f>
        <v>www.tbgresidential.com</v>
      </c>
      <c r="M291" s="1625">
        <f>'Part II-Development Team'!M88</f>
        <v>0</v>
      </c>
      <c r="N291" s="1625">
        <f>'Part II-Development Team'!N88</f>
        <v>0</v>
      </c>
      <c r="O291" s="1633" t="s">
        <v>1734</v>
      </c>
      <c r="P291" s="1625"/>
      <c r="Q291" s="1646">
        <f>'Part II-Development Team'!Q88</f>
        <v>6783245550</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GA</v>
      </c>
      <c r="I292" s="1625"/>
      <c r="J292" s="1625"/>
      <c r="K292" s="1630" t="s">
        <v>2246</v>
      </c>
      <c r="L292" s="1645">
        <f>'Part II-Development Team'!L89</f>
        <v>303394002</v>
      </c>
      <c r="M292" s="1645">
        <f>'Part II-Development Team'!M89</f>
        <v>0</v>
      </c>
      <c r="N292" s="1625"/>
      <c r="O292" s="1633" t="s">
        <v>1996</v>
      </c>
      <c r="P292" s="1625"/>
      <c r="Q292" s="1646">
        <f>'Part II-Development Team'!Q89</f>
        <v>7708627333</v>
      </c>
      <c r="R292" s="1646">
        <f>'Part II-Development Team'!R89</f>
        <v>0</v>
      </c>
      <c r="S292" s="1646">
        <f>'Part II-Development Team'!S89</f>
        <v>0</v>
      </c>
    </row>
    <row r="293" spans="1:19">
      <c r="A293" s="1625"/>
      <c r="B293" s="1625"/>
      <c r="C293" s="1625"/>
      <c r="D293" s="1698"/>
      <c r="E293" s="1633" t="s">
        <v>4316</v>
      </c>
      <c r="F293" s="1625"/>
      <c r="G293" s="1625"/>
      <c r="H293" s="1646">
        <f>'Part II-Development Team'!H90</f>
        <v>6783245540</v>
      </c>
      <c r="I293" s="1646">
        <f>'Part II-Development Team'!I90</f>
        <v>0</v>
      </c>
      <c r="J293" s="1650">
        <f>'Part II-Development Team'!J90</f>
        <v>101</v>
      </c>
      <c r="K293" s="1630" t="s">
        <v>2001</v>
      </c>
      <c r="L293" s="1641" t="str">
        <f>'Part II-Development Team'!L90</f>
        <v>kbuckner@tbgresidential.com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Buckner Finance Company DBA TBG Residential</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2006</v>
      </c>
      <c r="P295" s="1633"/>
      <c r="Q295" s="1625" t="str">
        <f>'Part II-Development Team'!Q92</f>
        <v>Kevin Buckner</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3825 Paces Walk SE, Suite 100</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President</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Atlanta</v>
      </c>
      <c r="I297" s="1625">
        <f>'Part II-Development Team'!I94</f>
        <v>0</v>
      </c>
      <c r="J297" s="1625">
        <f>'Part II-Development Team'!J94</f>
        <v>0</v>
      </c>
      <c r="K297" s="1630" t="s">
        <v>2724</v>
      </c>
      <c r="L297" s="1625" t="str">
        <f>'Part II-Development Team'!L94</f>
        <v>www.tbgresidential.com</v>
      </c>
      <c r="M297" s="1625">
        <f>'Part II-Development Team'!M94</f>
        <v>0</v>
      </c>
      <c r="N297" s="1625">
        <f>'Part II-Development Team'!N94</f>
        <v>0</v>
      </c>
      <c r="O297" s="1633" t="s">
        <v>1734</v>
      </c>
      <c r="P297" s="1625"/>
      <c r="Q297" s="1646">
        <f>'Part II-Development Team'!Q94</f>
        <v>6783245550</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GA</v>
      </c>
      <c r="I298" s="1625"/>
      <c r="J298" s="1625"/>
      <c r="K298" s="1630" t="s">
        <v>2246</v>
      </c>
      <c r="L298" s="1645">
        <f>'Part II-Development Team'!L95</f>
        <v>303394002</v>
      </c>
      <c r="M298" s="1645">
        <f>'Part II-Development Team'!M95</f>
        <v>0</v>
      </c>
      <c r="N298" s="1625"/>
      <c r="O298" s="1633" t="s">
        <v>1996</v>
      </c>
      <c r="P298" s="1625"/>
      <c r="Q298" s="1646">
        <f>'Part II-Development Team'!Q95</f>
        <v>7708627333</v>
      </c>
      <c r="R298" s="1646">
        <f>'Part II-Development Team'!R95</f>
        <v>0</v>
      </c>
      <c r="S298" s="1646">
        <f>'Part II-Development Team'!S95</f>
        <v>0</v>
      </c>
    </row>
    <row r="299" spans="1:19">
      <c r="A299" s="1625"/>
      <c r="B299" s="1625"/>
      <c r="C299" s="1625"/>
      <c r="D299" s="1698"/>
      <c r="E299" s="1633" t="s">
        <v>4316</v>
      </c>
      <c r="F299" s="1625"/>
      <c r="G299" s="1625"/>
      <c r="H299" s="1646">
        <f>'Part II-Development Team'!H96</f>
        <v>6783245540</v>
      </c>
      <c r="I299" s="1646">
        <f>'Part II-Development Team'!I96</f>
        <v>0</v>
      </c>
      <c r="J299" s="1650">
        <f>'Part II-Development Team'!J96</f>
        <v>101</v>
      </c>
      <c r="K299" s="1630" t="s">
        <v>2001</v>
      </c>
      <c r="L299" s="1641" t="str">
        <f>'Part II-Development Team'!L96</f>
        <v>kbuckner@tbgresidential.com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2132</v>
      </c>
      <c r="C301" s="1622" t="s">
        <v>291</v>
      </c>
      <c r="D301" s="1625"/>
      <c r="E301" s="1625"/>
      <c r="F301" s="1625"/>
      <c r="G301" s="1625"/>
      <c r="H301" s="1625" t="str">
        <f>'Part II-Development Team'!H98</f>
        <v>Arnall Golden &amp; Gregory</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2006</v>
      </c>
      <c r="P301" s="1633"/>
      <c r="Q301" s="1625" t="str">
        <f>'Part II-Development Team'!Q98</f>
        <v>Althea Broughton</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171 17th Street NW, #2100</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Partner</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Atlanta</v>
      </c>
      <c r="I303" s="1625">
        <f>'Part II-Development Team'!I100</f>
        <v>0</v>
      </c>
      <c r="J303" s="1625">
        <f>'Part II-Development Team'!J100</f>
        <v>0</v>
      </c>
      <c r="K303" s="1630" t="s">
        <v>2724</v>
      </c>
      <c r="L303" s="1625" t="str">
        <f>'Part II-Development Team'!L100</f>
        <v>www.agg.com</v>
      </c>
      <c r="M303" s="1625">
        <f>'Part II-Development Team'!M100</f>
        <v>0</v>
      </c>
      <c r="N303" s="1625">
        <f>'Part II-Development Team'!N100</f>
        <v>0</v>
      </c>
      <c r="O303" s="1633" t="s">
        <v>1734</v>
      </c>
      <c r="P303" s="1625"/>
      <c r="Q303" s="1646">
        <f>'Part II-Development Team'!Q100</f>
        <v>4048738708</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2246</v>
      </c>
      <c r="L304" s="1645">
        <f>'Part II-Development Team'!L101</f>
        <v>300691031</v>
      </c>
      <c r="M304" s="1645">
        <f>'Part II-Development Team'!M101</f>
        <v>0</v>
      </c>
      <c r="N304" s="1625"/>
      <c r="O304" s="1633" t="s">
        <v>1996</v>
      </c>
      <c r="P304" s="1625"/>
      <c r="Q304" s="1646">
        <f>'Part II-Development Team'!Q101</f>
        <v>0</v>
      </c>
      <c r="R304" s="1646">
        <f>'Part II-Development Team'!R101</f>
        <v>0</v>
      </c>
      <c r="S304" s="1646">
        <f>'Part II-Development Team'!S101</f>
        <v>0</v>
      </c>
    </row>
    <row r="305" spans="1:19">
      <c r="A305" s="1632"/>
      <c r="B305" s="1632"/>
      <c r="C305" s="1632"/>
      <c r="D305" s="1632"/>
      <c r="E305" s="1633" t="s">
        <v>4316</v>
      </c>
      <c r="F305" s="1625"/>
      <c r="G305" s="1625"/>
      <c r="H305" s="1646">
        <f>'Part II-Development Team'!H102</f>
        <v>4048738500</v>
      </c>
      <c r="I305" s="1646">
        <f>'Part II-Development Team'!I102</f>
        <v>0</v>
      </c>
      <c r="J305" s="1650">
        <f>'Part II-Development Team'!J102</f>
        <v>0</v>
      </c>
      <c r="K305" s="1630" t="s">
        <v>2001</v>
      </c>
      <c r="L305" s="1641" t="str">
        <f>'Part II-Development Team'!L102</f>
        <v>Althea.broughton@agg.com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Aprio/HA+W</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2006</v>
      </c>
      <c r="P307" s="1633"/>
      <c r="Q307" s="1625" t="str">
        <f>'Part II-Development Team'!Q104</f>
        <v>Alison Fossyl, CPA</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Five Concourse Parkway, Suite 1000</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Atlanta</v>
      </c>
      <c r="I309" s="1625">
        <f>'Part II-Development Team'!I106</f>
        <v>0</v>
      </c>
      <c r="J309" s="1625">
        <f>'Part II-Development Team'!J106</f>
        <v>0</v>
      </c>
      <c r="K309" s="1630" t="s">
        <v>2724</v>
      </c>
      <c r="L309" s="1625" t="str">
        <f>'Part II-Development Team'!L106</f>
        <v>www.aprio.com</v>
      </c>
      <c r="M309" s="1625">
        <f>'Part II-Development Team'!M106</f>
        <v>0</v>
      </c>
      <c r="N309" s="1625">
        <f>'Part II-Development Team'!N106</f>
        <v>0</v>
      </c>
      <c r="O309" s="1633" t="s">
        <v>1734</v>
      </c>
      <c r="P309" s="1625"/>
      <c r="Q309" s="1646">
        <f>'Part II-Development Team'!Q106</f>
        <v>4043537115</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GA</v>
      </c>
      <c r="I310" s="1625"/>
      <c r="J310" s="1625"/>
      <c r="K310" s="1630" t="s">
        <v>2246</v>
      </c>
      <c r="L310" s="1645">
        <f>'Part II-Development Team'!L107</f>
        <v>300286101</v>
      </c>
      <c r="M310" s="1645">
        <f>'Part II-Development Team'!M107</f>
        <v>0</v>
      </c>
      <c r="N310" s="1625"/>
      <c r="O310" s="1633" t="s">
        <v>1996</v>
      </c>
      <c r="P310" s="1625"/>
      <c r="Q310" s="1646">
        <f>'Part II-Development Team'!Q107</f>
        <v>0</v>
      </c>
      <c r="R310" s="1646">
        <f>'Part II-Development Team'!R107</f>
        <v>0</v>
      </c>
      <c r="S310" s="1646">
        <f>'Part II-Development Team'!S107</f>
        <v>0</v>
      </c>
    </row>
    <row r="311" spans="1:19">
      <c r="A311" s="1632"/>
      <c r="B311" s="1632"/>
      <c r="C311" s="1632"/>
      <c r="D311" s="1632"/>
      <c r="E311" s="1633" t="s">
        <v>4316</v>
      </c>
      <c r="F311" s="1625"/>
      <c r="G311" s="1625"/>
      <c r="H311" s="1646">
        <f>'Part II-Development Team'!H108</f>
        <v>4048929651</v>
      </c>
      <c r="I311" s="1646">
        <f>'Part II-Development Team'!I108</f>
        <v>0</v>
      </c>
      <c r="J311" s="1650">
        <f>'Part II-Development Team'!J108</f>
        <v>0</v>
      </c>
      <c r="K311" s="1630" t="s">
        <v>2001</v>
      </c>
      <c r="L311" s="1641" t="str">
        <f>'Part II-Development Team'!L108</f>
        <v>Alison.fossyl@aprio.com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Martin Riley Associates</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2006</v>
      </c>
      <c r="P313" s="1633"/>
      <c r="Q313" s="1625" t="str">
        <f>'Part II-Development Team'!Q110</f>
        <v>Michael T. Riley</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215 Church Street, Suite 200</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Vice President</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Decatur</v>
      </c>
      <c r="I315" s="1625">
        <f>'Part II-Development Team'!I112</f>
        <v>0</v>
      </c>
      <c r="J315" s="1625">
        <f>'Part II-Development Team'!J112</f>
        <v>0</v>
      </c>
      <c r="K315" s="1630" t="s">
        <v>2724</v>
      </c>
      <c r="L315" s="1625" t="str">
        <f>'Part II-Development Team'!L112</f>
        <v>www.martinriley.com</v>
      </c>
      <c r="M315" s="1625">
        <f>'Part II-Development Team'!M112</f>
        <v>0</v>
      </c>
      <c r="N315" s="1625">
        <f>'Part II-Development Team'!N112</f>
        <v>0</v>
      </c>
      <c r="O315" s="1633" t="s">
        <v>1734</v>
      </c>
      <c r="P315" s="1625"/>
      <c r="Q315" s="1646">
        <f>'Part II-Development Team'!Q112</f>
        <v>4043732800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2246</v>
      </c>
      <c r="L316" s="1645">
        <f>'Part II-Development Team'!L113</f>
        <v>300303329</v>
      </c>
      <c r="M316" s="1645">
        <f>'Part II-Development Team'!M113</f>
        <v>0</v>
      </c>
      <c r="N316" s="1625"/>
      <c r="O316" s="1633" t="s">
        <v>1996</v>
      </c>
      <c r="P316" s="1625"/>
      <c r="Q316" s="1646">
        <f>'Part II-Development Team'!Q113</f>
        <v>0</v>
      </c>
      <c r="R316" s="1646">
        <f>'Part II-Development Team'!R113</f>
        <v>0</v>
      </c>
      <c r="S316" s="1646">
        <f>'Part II-Development Team'!S113</f>
        <v>0</v>
      </c>
    </row>
    <row r="317" spans="1:19">
      <c r="A317" s="1625"/>
      <c r="B317" s="1625"/>
      <c r="C317" s="1625"/>
      <c r="D317" s="1698"/>
      <c r="E317" s="1633" t="s">
        <v>4316</v>
      </c>
      <c r="F317" s="1625"/>
      <c r="G317" s="1625"/>
      <c r="H317" s="1646">
        <f>'Part II-Development Team'!H114</f>
        <v>4043732800</v>
      </c>
      <c r="I317" s="1646">
        <f>'Part II-Development Team'!I114</f>
        <v>0</v>
      </c>
      <c r="J317" s="1650">
        <f>'Part II-Development Team'!J114</f>
        <v>0</v>
      </c>
      <c r="K317" s="1630" t="s">
        <v>2001</v>
      </c>
      <c r="L317" s="1641" t="str">
        <f>'Part II-Development Team'!L114</f>
        <v>mriley@martinriley.com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2621</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2000</v>
      </c>
      <c r="C320" s="1622" t="s">
        <v>4760</v>
      </c>
      <c r="D320" s="1625"/>
      <c r="E320" s="1625"/>
      <c r="F320" s="1625"/>
      <c r="G320" s="1625"/>
      <c r="H320" s="1625" t="str">
        <f>'Part II-Development Team'!H117</f>
        <v>Hilton GBT Property, LLC</v>
      </c>
      <c r="I320" s="1625">
        <f>'Part II-Development Team'!I117</f>
        <v>0</v>
      </c>
      <c r="J320" s="1625">
        <f>'Part II-Development Team'!J117</f>
        <v>0</v>
      </c>
      <c r="K320" s="1630" t="s">
        <v>2491</v>
      </c>
      <c r="L320" s="1625" t="str">
        <f>'Part II-Development Team'!L117</f>
        <v>Nonie Eakle</v>
      </c>
      <c r="M320" s="1625">
        <f>'Part II-Development Team'!M117</f>
        <v>0</v>
      </c>
      <c r="N320" s="1625">
        <f>'Part II-Development Team'!N117</f>
        <v>0</v>
      </c>
      <c r="O320" s="1633" t="s">
        <v>3604</v>
      </c>
      <c r="P320" s="1625"/>
      <c r="Q320" s="1625" t="str">
        <f>'Part II-Development Team'!Q117</f>
        <v>706-255-5358</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P.O. Box 300</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Cataula</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2246</v>
      </c>
      <c r="J322" s="1645">
        <f>'Part II-Development Team'!J119</f>
        <v>318080000</v>
      </c>
      <c r="K322" s="1645">
        <f>'Part II-Development Team'!K119</f>
        <v>0</v>
      </c>
      <c r="L322" s="1630" t="s">
        <v>2001</v>
      </c>
      <c r="M322" s="1641" t="str">
        <f>'Part II-Development Team'!M119</f>
        <v>nonie.eakle@gmail.com</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2002</v>
      </c>
      <c r="C323" s="1622" t="s">
        <v>2855</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3914</v>
      </c>
      <c r="B324" s="1704"/>
      <c r="C324" s="1704"/>
      <c r="D324" s="1704"/>
      <c r="E324" s="1704"/>
      <c r="F324" s="1650" t="s">
        <v>2528</v>
      </c>
      <c r="G324" s="1639" t="s">
        <v>3503</v>
      </c>
      <c r="H324" s="1639"/>
      <c r="I324" s="1639"/>
      <c r="J324" s="1639"/>
      <c r="K324" s="1639"/>
      <c r="L324" s="1639"/>
      <c r="M324" s="1639"/>
      <c r="N324" s="1639"/>
      <c r="O324" s="1639"/>
      <c r="P324" s="1639"/>
      <c r="Q324" s="1639"/>
      <c r="R324" s="1639"/>
      <c r="S324" s="1639"/>
    </row>
    <row r="325" spans="1:19" ht="12.75" customHeight="1">
      <c r="A325" s="1625"/>
      <c r="B325" s="1687"/>
      <c r="C325" s="1705" t="s">
        <v>2003</v>
      </c>
      <c r="D325" s="1621" t="s">
        <v>2856</v>
      </c>
      <c r="E325" s="1621"/>
      <c r="F325" s="1706" t="str">
        <f>'Part II-Development Team'!F122</f>
        <v>Yes</v>
      </c>
      <c r="G325" s="1707" t="str">
        <f>'Part II-Development Team'!G122</f>
        <v>Kevin Buckner is the President of Hunter's Walk Home Center, Inc.(Contractor) and MHL, Inc. (Developer).</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2005</v>
      </c>
      <c r="D326" s="1621" t="s">
        <v>2922</v>
      </c>
      <c r="E326" s="1621"/>
      <c r="F326" s="1706" t="str">
        <f>'Part II-Development Team'!F123</f>
        <v>No</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2552</v>
      </c>
      <c r="D327" s="1621" t="s">
        <v>2898</v>
      </c>
      <c r="E327" s="1621"/>
      <c r="F327" s="1706" t="str">
        <f>'Part II-Development Team'!F124</f>
        <v>Yes</v>
      </c>
      <c r="G327" s="1707" t="str">
        <f>'Part II-Development Team'!G124</f>
        <v>Kevin Buckner is the President of Hunter's Walk Home Center, Inc. (Contractor) and the managing member of the general partner.</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2857</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3490</v>
      </c>
      <c r="E329" s="1621"/>
      <c r="F329" s="1706" t="str">
        <f>'Part II-Development Team'!F126</f>
        <v>Yes</v>
      </c>
      <c r="G329" s="1707" t="str">
        <f>'Part II-Development Team'!G126</f>
        <v xml:space="preserve">Kevin Buckner is the President of MHL, Inc.(Developer) and a member of the State Limited Partner. </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1897</v>
      </c>
      <c r="D330" s="1621" t="s">
        <v>3491</v>
      </c>
      <c r="E330" s="1621"/>
      <c r="F330" s="1706" t="str">
        <f>'Part II-Development Team'!F127</f>
        <v>Yes</v>
      </c>
      <c r="G330" s="1707" t="str">
        <f>'Part II-Development Team'!G127</f>
        <v>Kevin Buckner is the President of Hunter's Walk Home Center, Inc. (Contractor) and is a member of the State Limited Partner.</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2858</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Other (Indicate here the two roles involved)</v>
      </c>
      <c r="E332" s="1621">
        <f>'Part II-Development Team'!E129</f>
        <v>0</v>
      </c>
      <c r="F332" s="1706" t="str">
        <f>'Part II-Development Team'!F129</f>
        <v>No</v>
      </c>
      <c r="G332" s="1707">
        <f>'Part II-Development Team'!G129</f>
        <v>0</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4761</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2859</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3471</v>
      </c>
      <c r="F336" s="1621"/>
      <c r="G336" s="1621"/>
      <c r="H336" s="1621"/>
      <c r="I336" s="1621"/>
      <c r="J336" s="1621" t="s">
        <v>3472</v>
      </c>
      <c r="K336" s="1708" t="s">
        <v>4762</v>
      </c>
      <c r="L336" s="1708" t="s">
        <v>4763</v>
      </c>
      <c r="M336" s="1708" t="s">
        <v>4764</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4765</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2528</v>
      </c>
      <c r="J340" s="1621"/>
      <c r="K340" s="1708"/>
      <c r="L340" s="1708"/>
      <c r="M340" s="1650" t="s">
        <v>2528</v>
      </c>
      <c r="N340" s="1656" t="s">
        <v>2928</v>
      </c>
      <c r="O340" s="1656"/>
      <c r="P340" s="1656"/>
      <c r="Q340" s="1656"/>
      <c r="R340" s="1656"/>
      <c r="S340" s="1656"/>
    </row>
    <row r="341" spans="1:19" ht="13.5" customHeight="1">
      <c r="A341" s="1697" t="s">
        <v>3466</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9.0000000000000006E-5</v>
      </c>
      <c r="M341" s="1706" t="str">
        <f>'Part II-Development Team'!M138</f>
        <v>Yes</v>
      </c>
      <c r="N341" s="1707" t="str">
        <f>'Part II-Development Team'!N138</f>
        <v>A member of the GP is also president of the general contractor, property management company and developer. Both members of the managing general partner are members of the State Limited Partner.</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3467</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3468</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3469</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0.98990999999999996</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3470</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Yes</v>
      </c>
      <c r="N345" s="1707" t="str">
        <f>'Part II-Development Team'!N142</f>
        <v xml:space="preserve">Kevin Buckner is the President of MHL, Inc.(Developer), Hunter's Walk Home Center, Inc. (Contractor), Buckner Finance Company (Management Company),  and a member of the State Limited Partner. </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2915</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229.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Yes</v>
      </c>
      <c r="N347" s="1707" t="str">
        <f>'Part II-Development Team'!N144</f>
        <v xml:space="preserve">Kevin Buckner is the President of MHL, Inc.(Developer), Hunter's Walk Home Center, Inc. (Contractor), Buckner Finance Company (Management Company),  and a member of the State Limited Partner. </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2916</v>
      </c>
      <c r="B348" s="1697"/>
      <c r="C348" s="1697"/>
      <c r="D348" s="1697"/>
      <c r="E348" s="1707">
        <f>'Part II-Development Team'!E145</f>
        <v>0</v>
      </c>
      <c r="F348" s="1707">
        <f>'Part II-Development Team'!F145</f>
        <v>0</v>
      </c>
      <c r="G348" s="1707">
        <f>'Part II-Development Team'!G145</f>
        <v>0</v>
      </c>
      <c r="H348" s="1707">
        <f>'Part II-Development Team'!H145</f>
        <v>0</v>
      </c>
      <c r="I348" s="1706">
        <f>'Part II-Development Team'!I145</f>
        <v>0</v>
      </c>
      <c r="J348" s="1706">
        <f>'Part II-Development Team'!J145</f>
        <v>0</v>
      </c>
      <c r="K348" s="1711">
        <f>'Part II-Development Team'!K145</f>
        <v>0</v>
      </c>
      <c r="L348" s="1712">
        <f>'Part II-Development Team'!L145</f>
        <v>0</v>
      </c>
      <c r="M348" s="1706">
        <f>'Part II-Development Team'!M145</f>
        <v>0</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2917</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2919</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2918</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229.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Yes</v>
      </c>
      <c r="N352" s="1707" t="str">
        <f>'Part II-Development Team'!N149</f>
        <v xml:space="preserve">Kevin Buckner is the President of MHL, Inc.(Developer), Hunter's Walk Home Center, Inc. (Contractor), Buckner Finance Company (Management Company),  and a member of the State Limited Partner. </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2920</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Yes</v>
      </c>
      <c r="N353" s="1707" t="str">
        <f>'Part II-Development Team'!N150</f>
        <v xml:space="preserve">Kevin Buckner is the President of MHL, Inc.(Developer), Hunter's Walk Home Center, Inc. (Contractor), Buckner Finance Company (Management Company),  and a member of the State Limited Partner. </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t="str">
        <f>'Part II-Development Team'!A153</f>
        <v>Kevin Buckner is the president of MHL, Inc. (developer), Hunter's Walk Home Center, Inc. (general contractor) and BFC, Inc. (property management company).  Kevin Buckner is  a member of the General Partner, TBG Grayling Place, LLC.  Kevin Buckner is a member of the State Limited Partner, TBG Grayling Place Investments, LLC.</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2018-021 Grayling Place, Columbus, Muscogee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2508</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2427</v>
      </c>
      <c r="D368" s="1625"/>
      <c r="E368" s="1637"/>
      <c r="F368" s="1637"/>
      <c r="G368" s="1637"/>
      <c r="H368" s="1630" t="str">
        <f>'Part III-Sources of Funds'!H5</f>
        <v>No</v>
      </c>
      <c r="I368" s="1633" t="s">
        <v>1549</v>
      </c>
      <c r="J368" s="1637"/>
      <c r="K368" s="1637"/>
      <c r="L368" s="1630" t="str">
        <f>'Part III-Sources of Funds'!L5</f>
        <v>No</v>
      </c>
      <c r="M368" s="1625" t="s">
        <v>3921</v>
      </c>
      <c r="N368" s="1637"/>
      <c r="O368" s="1637"/>
      <c r="P368" s="1637"/>
      <c r="Q368" s="1637"/>
    </row>
    <row r="369" spans="1:17" ht="13.5">
      <c r="A369" s="1623"/>
      <c r="B369" s="1630" t="str">
        <f>'Part III-Sources of Funds'!B6</f>
        <v>No</v>
      </c>
      <c r="C369" s="1633" t="s">
        <v>555</v>
      </c>
      <c r="D369" s="1625"/>
      <c r="E369" s="1637"/>
      <c r="F369" s="1637"/>
      <c r="G369" s="1637"/>
      <c r="H369" s="1630" t="str">
        <f>'Part III-Sources of Funds'!H6</f>
        <v>No</v>
      </c>
      <c r="I369" s="1633" t="s">
        <v>554</v>
      </c>
      <c r="J369" s="1637"/>
      <c r="K369" s="1637"/>
      <c r="L369" s="1630" t="str">
        <f>'Part III-Sources of Funds'!L6</f>
        <v>No</v>
      </c>
      <c r="M369" s="1633" t="s">
        <v>2619</v>
      </c>
      <c r="N369" s="1637"/>
      <c r="O369" s="1637"/>
      <c r="P369" s="1637"/>
      <c r="Q369" s="1637"/>
    </row>
    <row r="370" spans="1:17" ht="13.5">
      <c r="A370" s="1625"/>
      <c r="B370" s="1630" t="str">
        <f>'Part III-Sources of Funds'!B7</f>
        <v>No</v>
      </c>
      <c r="C370" s="1633" t="s">
        <v>3918</v>
      </c>
      <c r="D370" s="1637"/>
      <c r="E370" s="1637"/>
      <c r="F370" s="1683">
        <f>'Part III-Sources of Funds'!F7</f>
        <v>0</v>
      </c>
      <c r="G370" s="1683">
        <f>'Part III-Sources of Funds'!G7</f>
        <v>0</v>
      </c>
      <c r="H370" s="1630" t="str">
        <f>'Part III-Sources of Funds'!H7</f>
        <v>No</v>
      </c>
      <c r="I370" s="1633" t="s">
        <v>3707</v>
      </c>
      <c r="J370" s="1637"/>
      <c r="K370" s="1637"/>
      <c r="L370" s="1630" t="str">
        <f>'Part III-Sources of Funds'!L7</f>
        <v>No</v>
      </c>
      <c r="M370" s="1633" t="s">
        <v>2620</v>
      </c>
      <c r="N370" s="1637"/>
      <c r="O370" s="1637"/>
      <c r="P370" s="1637"/>
      <c r="Q370" s="1637"/>
    </row>
    <row r="371" spans="1:17" ht="13.5">
      <c r="A371" s="1623"/>
      <c r="B371" s="1630" t="str">
        <f>'Part III-Sources of Funds'!B8</f>
        <v>No</v>
      </c>
      <c r="C371" s="1633" t="s">
        <v>1816</v>
      </c>
      <c r="D371" s="1625"/>
      <c r="E371" s="1637"/>
      <c r="F371" s="1637"/>
      <c r="G371" s="1637"/>
      <c r="H371" s="1630" t="str">
        <f>'Part III-Sources of Funds'!H8</f>
        <v>No</v>
      </c>
      <c r="I371" s="1625" t="s">
        <v>2628</v>
      </c>
      <c r="J371" s="1637"/>
      <c r="K371" s="1637"/>
      <c r="L371" s="1630" t="str">
        <f>'Part III-Sources of Funds'!L8</f>
        <v>No</v>
      </c>
      <c r="M371" s="1633" t="s">
        <v>3712</v>
      </c>
      <c r="N371" s="1637"/>
      <c r="O371" s="1637"/>
      <c r="P371" s="1637"/>
      <c r="Q371" s="1637"/>
    </row>
    <row r="372" spans="1:17" ht="13.5">
      <c r="A372" s="1623"/>
      <c r="B372" s="1630" t="str">
        <f>'Part III-Sources of Funds'!B9</f>
        <v>No</v>
      </c>
      <c r="C372" s="1633" t="s">
        <v>556</v>
      </c>
      <c r="D372" s="1637"/>
      <c r="E372" s="1637"/>
      <c r="F372" s="1637"/>
      <c r="G372" s="1637"/>
      <c r="H372" s="1630" t="str">
        <f>'Part III-Sources of Funds'!H9</f>
        <v>No</v>
      </c>
      <c r="I372" s="1625" t="s">
        <v>2626</v>
      </c>
      <c r="J372" s="1637"/>
      <c r="K372" s="1637"/>
      <c r="L372" s="1630" t="str">
        <f>'Part III-Sources of Funds'!L9</f>
        <v>No</v>
      </c>
      <c r="M372" s="1633" t="s">
        <v>2627</v>
      </c>
      <c r="N372" s="1637"/>
      <c r="O372" s="1637"/>
      <c r="P372" s="1637"/>
      <c r="Q372" s="1637"/>
    </row>
    <row r="373" spans="1:17" ht="13.5">
      <c r="A373" s="1623"/>
      <c r="B373" s="1630" t="str">
        <f>'Part III-Sources of Funds'!B10</f>
        <v>No</v>
      </c>
      <c r="C373" s="1633" t="s">
        <v>3919</v>
      </c>
      <c r="D373" s="1637"/>
      <c r="E373" s="1637"/>
      <c r="F373" s="1637"/>
      <c r="G373" s="1714"/>
      <c r="H373" s="1630" t="str">
        <f>'Part III-Sources of Funds'!H10</f>
        <v>No</v>
      </c>
      <c r="I373" s="1625" t="s">
        <v>3748</v>
      </c>
      <c r="J373" s="1621"/>
      <c r="K373" s="1621"/>
      <c r="L373" s="1630" t="str">
        <f>'Part III-Sources of Funds'!L10</f>
        <v>No</v>
      </c>
      <c r="M373" s="1633" t="s">
        <v>3750</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No</v>
      </c>
      <c r="C374" s="1633" t="s">
        <v>4766</v>
      </c>
      <c r="D374" s="1625"/>
      <c r="E374" s="1715">
        <f>'Part III-Sources of Funds'!E11</f>
        <v>0</v>
      </c>
      <c r="F374" s="1716">
        <f>'Part III-Sources of Funds'!F11</f>
        <v>0</v>
      </c>
      <c r="G374" s="1637"/>
      <c r="H374" s="1630" t="str">
        <f>'Part III-Sources of Funds'!H11</f>
        <v>No</v>
      </c>
      <c r="I374" s="1625" t="s">
        <v>3753</v>
      </c>
      <c r="J374" s="1637"/>
      <c r="K374" s="1637"/>
      <c r="L374" s="1630" t="str">
        <f>'Part III-Sources of Funds'!L11</f>
        <v>No</v>
      </c>
      <c r="M374" s="1625" t="s">
        <v>3646</v>
      </c>
      <c r="N374" s="1637"/>
      <c r="O374" s="1637"/>
      <c r="P374" s="1637"/>
      <c r="Q374" s="1637"/>
    </row>
    <row r="375" spans="1:17" ht="13.5">
      <c r="A375" s="1623"/>
      <c r="B375" s="1630" t="str">
        <f>'Part III-Sources of Funds'!B12</f>
        <v>No</v>
      </c>
      <c r="C375" s="1633" t="s">
        <v>4767</v>
      </c>
      <c r="D375" s="1637"/>
      <c r="E375" s="1715">
        <f>'Part III-Sources of Funds'!E12</f>
        <v>0</v>
      </c>
      <c r="F375" s="1716">
        <f>'Part III-Sources of Funds'!F12</f>
        <v>0</v>
      </c>
      <c r="G375" s="1637"/>
      <c r="H375" s="1630" t="str">
        <f>'Part III-Sources of Funds'!H12</f>
        <v>No</v>
      </c>
      <c r="I375" s="1687" t="s">
        <v>2816</v>
      </c>
      <c r="J375" s="1687"/>
      <c r="K375" s="1687"/>
      <c r="L375" s="1630" t="str">
        <f>'Part III-Sources of Funds'!L12</f>
        <v>No</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3749</v>
      </c>
      <c r="D376" s="1637"/>
      <c r="E376" s="1637" t="str">
        <f>'Part III-Sources of Funds'!E13</f>
        <v>Specify Other HOME Source here</v>
      </c>
      <c r="F376" s="1637">
        <f>'Part III-Sources of Funds'!F13</f>
        <v>0</v>
      </c>
      <c r="G376" s="1637">
        <f>'Part III-Sources of Funds'!G13</f>
        <v>0</v>
      </c>
      <c r="H376" s="1630" t="str">
        <f>'Part III-Sources of Funds'!H13</f>
        <v>No</v>
      </c>
      <c r="I376" s="1633" t="s">
        <v>3920</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3713</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2362</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1886</v>
      </c>
      <c r="C381" s="1625"/>
      <c r="D381" s="1625"/>
      <c r="E381" s="1625"/>
      <c r="F381" s="1625"/>
      <c r="G381" s="1625"/>
      <c r="H381" s="1625" t="s">
        <v>1309</v>
      </c>
      <c r="I381" s="1625"/>
      <c r="J381" s="1625"/>
      <c r="K381" s="1625"/>
      <c r="L381" s="1625" t="s">
        <v>2007</v>
      </c>
      <c r="M381" s="1625"/>
      <c r="N381" s="1625" t="s">
        <v>1519</v>
      </c>
      <c r="O381" s="1625"/>
      <c r="P381" s="1625" t="s">
        <v>1643</v>
      </c>
      <c r="Q381" s="1625"/>
    </row>
    <row r="382" spans="1:17" ht="25.5">
      <c r="A382" s="1625"/>
      <c r="B382" s="1625" t="s">
        <v>1603</v>
      </c>
      <c r="C382" s="1625"/>
      <c r="D382" s="1625"/>
      <c r="E382" s="1625"/>
      <c r="F382" s="1625"/>
      <c r="G382" s="1625"/>
      <c r="H382" s="1704" t="str">
        <f>'Part III-Sources of Funds'!H19</f>
        <v>Regions Affordable Housing, LLC</v>
      </c>
      <c r="I382" s="1704">
        <f>'Part III-Sources of Funds'!I19</f>
        <v>0</v>
      </c>
      <c r="J382" s="1704">
        <f>'Part III-Sources of Funds'!J19</f>
        <v>0</v>
      </c>
      <c r="K382" s="1704">
        <f>'Part III-Sources of Funds'!K19</f>
        <v>0</v>
      </c>
      <c r="L382" s="1640">
        <f>'Part III-Sources of Funds'!L19</f>
        <v>11644384</v>
      </c>
      <c r="M382" s="1640">
        <f>'Part III-Sources of Funds'!M19</f>
        <v>0</v>
      </c>
      <c r="N382" s="1717">
        <f>'Part III-Sources of Funds'!N19</f>
        <v>4.9099999999999998E-2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2232</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38.25">
      <c r="A388" s="1625"/>
      <c r="B388" s="1625" t="s">
        <v>810</v>
      </c>
      <c r="C388" s="1625"/>
      <c r="D388" s="1625"/>
      <c r="E388" s="1625"/>
      <c r="F388" s="1637"/>
      <c r="G388" s="1637"/>
      <c r="H388" s="1704" t="str">
        <f>'Part III-Sources of Funds'!H25</f>
        <v>Regions  Affordable Housing, LLC</v>
      </c>
      <c r="I388" s="1704">
        <f>'Part III-Sources of Funds'!I25</f>
        <v>0</v>
      </c>
      <c r="J388" s="1704">
        <f>'Part III-Sources of Funds'!J25</f>
        <v>0</v>
      </c>
      <c r="K388" s="1704">
        <f>'Part III-Sources of Funds'!K25</f>
        <v>0</v>
      </c>
      <c r="L388" s="1640">
        <f>'Part III-Sources of Funds'!L25</f>
        <v>1608630</v>
      </c>
      <c r="M388" s="1640">
        <f>'Part III-Sources of Funds'!M25</f>
        <v>0</v>
      </c>
      <c r="N388" s="1625"/>
      <c r="O388" s="1625"/>
      <c r="P388" s="1625"/>
      <c r="Q388" s="1625"/>
    </row>
    <row r="389" spans="1:17" ht="38.25">
      <c r="A389" s="1625"/>
      <c r="B389" s="1625" t="s">
        <v>811</v>
      </c>
      <c r="C389" s="1625"/>
      <c r="D389" s="1625"/>
      <c r="E389" s="1625"/>
      <c r="F389" s="1637"/>
      <c r="G389" s="1637"/>
      <c r="H389" s="1704" t="str">
        <f>'Part III-Sources of Funds'!H26</f>
        <v>TBG Grayling Place  Investments, LLC</v>
      </c>
      <c r="I389" s="1704">
        <f>'Part III-Sources of Funds'!I26</f>
        <v>0</v>
      </c>
      <c r="J389" s="1704">
        <f>'Part III-Sources of Funds'!J26</f>
        <v>0</v>
      </c>
      <c r="K389" s="1704">
        <f>'Part III-Sources of Funds'!K26</f>
        <v>0</v>
      </c>
      <c r="L389" s="1640">
        <f>'Part III-Sources of Funds'!L26</f>
        <v>939571</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14192585</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14192585</v>
      </c>
      <c r="M394" s="1719">
        <f>'Part III-Sources of Funds'!M31</f>
        <v>0</v>
      </c>
      <c r="N394" s="1639"/>
      <c r="O394" s="1637"/>
      <c r="P394" s="1637"/>
      <c r="Q394" s="1637"/>
    </row>
    <row r="395" spans="1:17" ht="13.5">
      <c r="A395" s="1625"/>
      <c r="B395" s="1633" t="s">
        <v>2174</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2116</v>
      </c>
      <c r="L398" s="1630" t="s">
        <v>1307</v>
      </c>
      <c r="M398" s="1630" t="s">
        <v>1312</v>
      </c>
      <c r="N398" s="1639" t="s">
        <v>35</v>
      </c>
      <c r="O398" s="1639"/>
      <c r="P398" s="1630"/>
      <c r="Q398" s="1622"/>
    </row>
    <row r="399" spans="1:17">
      <c r="A399" s="1625"/>
      <c r="B399" s="1633" t="s">
        <v>1886</v>
      </c>
      <c r="C399" s="1625"/>
      <c r="D399" s="1625"/>
      <c r="E399" s="1625" t="s">
        <v>1309</v>
      </c>
      <c r="F399" s="1625"/>
      <c r="G399" s="1625"/>
      <c r="H399" s="1625"/>
      <c r="I399" s="1625" t="s">
        <v>493</v>
      </c>
      <c r="J399" s="1625"/>
      <c r="K399" s="1630" t="s">
        <v>1819</v>
      </c>
      <c r="L399" s="1630" t="s">
        <v>2231</v>
      </c>
      <c r="M399" s="1630" t="s">
        <v>2231</v>
      </c>
      <c r="N399" s="1639"/>
      <c r="O399" s="1639"/>
      <c r="P399" s="1625" t="s">
        <v>75</v>
      </c>
      <c r="Q399" s="1625"/>
    </row>
    <row r="400" spans="1:17" ht="25.5">
      <c r="A400" s="1625"/>
      <c r="B400" s="1625" t="s">
        <v>2632</v>
      </c>
      <c r="C400" s="1625"/>
      <c r="D400" s="1625"/>
      <c r="E400" s="1704" t="str">
        <f>'Part III-Sources of Funds'!E37</f>
        <v>Regions Capital Markets Group</v>
      </c>
      <c r="F400" s="1704">
        <f>'Part III-Sources of Funds'!F37</f>
        <v>0</v>
      </c>
      <c r="G400" s="1704">
        <f>'Part III-Sources of Funds'!G37</f>
        <v>0</v>
      </c>
      <c r="H400" s="1704">
        <f>'Part III-Sources of Funds'!H37</f>
        <v>0</v>
      </c>
      <c r="I400" s="1661">
        <f>'Part III-Sources of Funds'!I37</f>
        <v>3000000</v>
      </c>
      <c r="J400" s="1625">
        <f>'Part III-Sources of Funds'!J37</f>
        <v>0</v>
      </c>
      <c r="K400" s="1722">
        <f>'Part III-Sources of Funds'!K37</f>
        <v>5.5E-2</v>
      </c>
      <c r="L400" s="1630">
        <f>'Part III-Sources of Funds'!L37</f>
        <v>15</v>
      </c>
      <c r="M400" s="1630">
        <f>'Part III-Sources of Funds'!M37</f>
        <v>35</v>
      </c>
      <c r="N400" s="1723">
        <f>'Part III-Sources of Funds'!N37</f>
        <v>193325.86052013887</v>
      </c>
      <c r="O400" s="1723">
        <f>'Part III-Sources of Funds'!O37</f>
        <v>0</v>
      </c>
      <c r="P400" s="1625" t="str">
        <f>'Part III-Sources of Funds'!P37</f>
        <v>Amortizing</v>
      </c>
      <c r="Q400" s="1625">
        <f>'Part III-Sources of Funds'!Q37</f>
        <v>0</v>
      </c>
    </row>
    <row r="401" spans="1:17">
      <c r="A401" s="1625"/>
      <c r="B401" s="1625" t="s">
        <v>2633</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2634</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2769</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25.5">
      <c r="A405" s="1625"/>
      <c r="B405" s="1625" t="s">
        <v>230</v>
      </c>
      <c r="C405" s="1625"/>
      <c r="D405" s="1724">
        <f>'Part III-Sources of Funds'!D42</f>
        <v>0.22063272727272729</v>
      </c>
      <c r="E405" s="1704" t="str">
        <f>'Part III-Sources of Funds'!E42</f>
        <v>Deferred Developer Fee</v>
      </c>
      <c r="F405" s="1704">
        <f>'Part III-Sources of Funds'!F42</f>
        <v>0</v>
      </c>
      <c r="G405" s="1704">
        <f>'Part III-Sources of Funds'!G42</f>
        <v>0</v>
      </c>
      <c r="H405" s="1704">
        <f>'Part III-Sources of Funds'!H42</f>
        <v>0</v>
      </c>
      <c r="I405" s="1661">
        <f>'Part III-Sources of Funds'!I42</f>
        <v>364044</v>
      </c>
      <c r="J405" s="1625">
        <f>'Part III-Sources of Funds'!J42</f>
        <v>0</v>
      </c>
      <c r="K405" s="1722">
        <f>'Part III-Sources of Funds'!K42</f>
        <v>0.05</v>
      </c>
      <c r="L405" s="1630">
        <f>'Part III-Sources of Funds'!L42</f>
        <v>14</v>
      </c>
      <c r="M405" s="1630">
        <f>'Part III-Sources of Funds'!M42</f>
        <v>14</v>
      </c>
      <c r="N405" s="1723">
        <f>'Part III-Sources of Funds'!N42</f>
        <v>35237</v>
      </c>
      <c r="O405" s="1723">
        <f>'Part III-Sources of Funds'!O42</f>
        <v>0</v>
      </c>
      <c r="P405" s="1625" t="str">
        <f>'Part III-Sources of Funds'!P42</f>
        <v>Amortizing</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4237</v>
      </c>
      <c r="C407" s="1625"/>
      <c r="D407" s="1637"/>
      <c r="E407" s="1637" t="s">
        <v>4133</v>
      </c>
      <c r="F407" s="1728">
        <f>'Part III-Sources of Funds'!F44</f>
        <v>595123.82730829413</v>
      </c>
      <c r="G407" s="1637"/>
      <c r="H407" s="1714" t="s">
        <v>4236</v>
      </c>
      <c r="I407" s="1728">
        <f>'Part III-Sources of Funds'!I44</f>
        <v>493318</v>
      </c>
      <c r="J407" s="1637"/>
      <c r="K407" s="1722"/>
      <c r="L407" s="1630"/>
      <c r="M407" s="1630"/>
      <c r="N407" s="1727"/>
      <c r="O407" s="1727"/>
      <c r="P407" s="1630"/>
      <c r="Q407" s="1630"/>
    </row>
    <row r="408" spans="1:17" ht="13.5">
      <c r="A408" s="1625"/>
      <c r="B408" s="1637" t="s">
        <v>4768</v>
      </c>
      <c r="C408" s="1625"/>
      <c r="D408" s="1724"/>
      <c r="E408" s="1637"/>
      <c r="F408" s="1729">
        <f>'Part III-Sources of Funds'!F45</f>
        <v>0.97</v>
      </c>
      <c r="G408" s="1729">
        <f>'Part III-Sources of Funds'!G45</f>
        <v>0</v>
      </c>
      <c r="H408" s="1714" t="s">
        <v>4238</v>
      </c>
      <c r="I408" s="1729">
        <f>'Part III-Sources of Funds'!I45</f>
        <v>0.8289333704403079</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2232</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Regions Affordable Housing, LLC</v>
      </c>
      <c r="F412" s="1704">
        <f>'Part III-Sources of Funds'!F49</f>
        <v>0</v>
      </c>
      <c r="G412" s="1704">
        <f>'Part III-Sources of Funds'!G49</f>
        <v>0</v>
      </c>
      <c r="H412" s="1704">
        <f>'Part III-Sources of Funds'!H49</f>
        <v>0</v>
      </c>
      <c r="I412" s="1661">
        <f>'Part III-Sources of Funds'!I49</f>
        <v>8043152</v>
      </c>
      <c r="J412" s="1625">
        <f>'Part III-Sources of Funds'!J49</f>
        <v>0</v>
      </c>
      <c r="K412" s="1637"/>
      <c r="L412" s="1732">
        <f>'Part IV-A-Uses of Funds'!$J$175*10*'Part IV-A-Uses of Funds'!$N$168</f>
        <v>8125216</v>
      </c>
      <c r="M412" s="1732"/>
      <c r="N412" s="1733">
        <f>I412-L412</f>
        <v>-82064</v>
      </c>
      <c r="O412" s="1733"/>
      <c r="P412" s="1734" t="s">
        <v>2578</v>
      </c>
      <c r="Q412" s="1625"/>
    </row>
    <row r="413" spans="1:17" ht="51">
      <c r="A413" s="1625"/>
      <c r="B413" s="1625" t="s">
        <v>811</v>
      </c>
      <c r="C413" s="1625"/>
      <c r="D413" s="1625"/>
      <c r="E413" s="1704" t="str">
        <f>'Part III-Sources of Funds'!E50</f>
        <v>TBG Grayling Place  Investments, LLC</v>
      </c>
      <c r="F413" s="1704">
        <f>'Part III-Sources of Funds'!F50</f>
        <v>0</v>
      </c>
      <c r="G413" s="1704">
        <f>'Part III-Sources of Funds'!G50</f>
        <v>0</v>
      </c>
      <c r="H413" s="1704">
        <f>'Part III-Sources of Funds'!H50</f>
        <v>0</v>
      </c>
      <c r="I413" s="1661">
        <f>'Part III-Sources of Funds'!I50</f>
        <v>4697852</v>
      </c>
      <c r="J413" s="1625">
        <f>'Part III-Sources of Funds'!J50</f>
        <v>0</v>
      </c>
      <c r="K413" s="1637"/>
      <c r="L413" s="1732">
        <f>'Part IV-A-Uses of Funds'!$J$175*10*'Part IV-A-Uses of Funds'!$Q$168</f>
        <v>4616600</v>
      </c>
      <c r="M413" s="1732"/>
      <c r="N413" s="1733">
        <f>I413-L413</f>
        <v>81252</v>
      </c>
      <c r="O413" s="1733"/>
      <c r="P413" s="1735">
        <f>I412/I422</f>
        <v>0.49941807065710081</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0.29170058977781377</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0.79111866043491452</v>
      </c>
      <c r="Q415" s="1625"/>
    </row>
    <row r="416" spans="1:17" ht="13.5">
      <c r="A416" s="1625"/>
      <c r="B416" s="1625" t="s">
        <v>1884</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1885</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2233</v>
      </c>
      <c r="C421" s="1625"/>
      <c r="D421" s="1625"/>
      <c r="E421" s="1625"/>
      <c r="F421" s="1625"/>
      <c r="G421" s="1625"/>
      <c r="H421" s="1637"/>
      <c r="I421" s="1719">
        <f>SUM(I400:J405)+SUM(I410:J420)</f>
        <v>16105048</v>
      </c>
      <c r="J421" s="1719"/>
      <c r="K421" s="1625"/>
      <c r="L421" s="1630"/>
      <c r="M421" s="1704"/>
      <c r="N421" s="1704"/>
      <c r="O421" s="1704"/>
      <c r="P421" s="1704"/>
      <c r="Q421" s="1625"/>
    </row>
    <row r="422" spans="1:17" ht="13.5">
      <c r="A422" s="1625"/>
      <c r="B422" s="1633" t="s">
        <v>2234</v>
      </c>
      <c r="C422" s="1625"/>
      <c r="D422" s="1625"/>
      <c r="E422" s="1625"/>
      <c r="F422" s="1625"/>
      <c r="G422" s="1625"/>
      <c r="H422" s="1637"/>
      <c r="I422" s="1719">
        <f>'Part IV-A-Uses of Funds'!$G$132</f>
        <v>16105048</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3492</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 xml:space="preserve">There is an overage and a deficit created in the Equity Check above because Regions Bank is purchasing 98.99% of the Federal credits.  TBG Grayling Place Investments, LLC  is purchasing 1% of the Federal Credits at federal pricing and 100% of the State credits at state pricing. 
The interest rate applicable to the construction period is 30-day Libor plus 300 basis points as of May 1, 2018.   30-day Libor (1.91%) plus 300 basis points is 4.91%.  See TAB 01 for documentation. We are using the 30-day Libor rate as of May 1, 2018.  
The total unrestricted financing sources is $3,364,044 which is 20.90% of the total development costs.  There are 17 unrestricted units in this project which is 20.24% of the total units.   
</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2018-021 Grayling Place,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2018-021 Grayling Place,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2701</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2017</v>
      </c>
      <c r="C444" s="1625"/>
      <c r="D444" s="1625"/>
      <c r="E444" s="1625"/>
      <c r="F444" s="1625"/>
      <c r="G444" s="1640">
        <f>'Part IV-A-Uses of Funds'!G8</f>
        <v>5750</v>
      </c>
      <c r="H444" s="1640">
        <f>'Part IV-A-Uses of Funds'!H8</f>
        <v>0</v>
      </c>
      <c r="I444" s="1625"/>
      <c r="J444" s="1640">
        <f>'Part IV-A-Uses of Funds'!J8</f>
        <v>5750</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6500</v>
      </c>
      <c r="H445" s="1640">
        <f>'Part IV-A-Uses of Funds'!H9</f>
        <v>0</v>
      </c>
      <c r="I445" s="1625"/>
      <c r="J445" s="1640">
        <f>'Part IV-A-Uses of Funds'!J9</f>
        <v>6500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14950</v>
      </c>
      <c r="H446" s="1640">
        <f>'Part IV-A-Uses of Funds'!H10</f>
        <v>0</v>
      </c>
      <c r="I446" s="1625"/>
      <c r="J446" s="1640">
        <f>'Part IV-A-Uses of Funds'!J10</f>
        <v>14950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7000</v>
      </c>
      <c r="H447" s="1640">
        <f>'Part IV-A-Uses of Funds'!H11</f>
        <v>0</v>
      </c>
      <c r="I447" s="1625"/>
      <c r="J447" s="1640">
        <f>'Part IV-A-Uses of Funds'!J11</f>
        <v>7000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2517</v>
      </c>
      <c r="C448" s="1625"/>
      <c r="D448" s="1625"/>
      <c r="E448" s="1625"/>
      <c r="F448" s="1625"/>
      <c r="G448" s="1640">
        <f>'Part IV-A-Uses of Funds'!G12</f>
        <v>18070</v>
      </c>
      <c r="H448" s="1640">
        <f>'Part IV-A-Uses of Funds'!H12</f>
        <v>0</v>
      </c>
      <c r="I448" s="1625"/>
      <c r="J448" s="1640">
        <f>'Part IV-A-Uses of Funds'!J12</f>
        <v>18070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4000</v>
      </c>
      <c r="H449" s="1640">
        <f>'Part IV-A-Uses of Funds'!H13</f>
        <v>0</v>
      </c>
      <c r="I449" s="1625"/>
      <c r="J449" s="1640">
        <f>'Part IV-A-Uses of Funds'!J13</f>
        <v>4000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Environmental:  Lead in Soils Mitigation</v>
      </c>
      <c r="D450" s="1643">
        <f>'Part IV-A-Uses of Funds'!D14</f>
        <v>0</v>
      </c>
      <c r="E450" s="1643">
        <f>'Part IV-A-Uses of Funds'!E14</f>
        <v>0</v>
      </c>
      <c r="F450" s="1643">
        <f>'Part IV-A-Uses of Funds'!F14</f>
        <v>0</v>
      </c>
      <c r="G450" s="1640">
        <f>'Part IV-A-Uses of Funds'!G14</f>
        <v>12880</v>
      </c>
      <c r="H450" s="1640">
        <f>'Part IV-A-Uses of Funds'!H14</f>
        <v>0</v>
      </c>
      <c r="I450" s="1625"/>
      <c r="J450" s="1640">
        <f>'Part IV-A-Uses of Funds'!J14</f>
        <v>12880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69150</v>
      </c>
      <c r="H453" s="1640"/>
      <c r="I453" s="1625"/>
      <c r="J453" s="1640">
        <f>SUM(J444:K452)</f>
        <v>69150</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2214</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2215</v>
      </c>
      <c r="C455" s="1625"/>
      <c r="D455" s="1625"/>
      <c r="E455" s="1625"/>
      <c r="F455" s="1625"/>
      <c r="G455" s="1640">
        <f>'Part IV-A-Uses of Funds'!G19</f>
        <v>2500000</v>
      </c>
      <c r="H455" s="1640">
        <f>'Part IV-A-Uses of Funds'!H19</f>
        <v>0</v>
      </c>
      <c r="I455" s="1625"/>
      <c r="J455" s="1655"/>
      <c r="K455" s="1640"/>
      <c r="L455" s="1655"/>
      <c r="M455" s="1655"/>
      <c r="N455" s="1640"/>
      <c r="O455" s="1625"/>
      <c r="P455" s="1655"/>
      <c r="Q455" s="1640"/>
      <c r="R455" s="1625"/>
      <c r="S455" s="1640">
        <f>'Part IV-A-Uses of Funds'!S19</f>
        <v>2500000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3000</v>
      </c>
      <c r="H456" s="1640">
        <f>'Part IV-A-Uses of Funds'!H20</f>
        <v>0</v>
      </c>
      <c r="I456" s="1625"/>
      <c r="J456" s="1655"/>
      <c r="K456" s="1640"/>
      <c r="L456" s="1655"/>
      <c r="M456" s="1655"/>
      <c r="N456" s="1640"/>
      <c r="O456" s="1625"/>
      <c r="P456" s="1655"/>
      <c r="Q456" s="1640"/>
      <c r="R456" s="1625"/>
      <c r="S456" s="1640">
        <f>'Part IV-A-Uses of Funds'!S20</f>
        <v>3000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2503000</v>
      </c>
      <c r="H459" s="1640"/>
      <c r="I459" s="1625"/>
      <c r="J459" s="1655"/>
      <c r="K459" s="1640"/>
      <c r="L459" s="1655"/>
      <c r="M459" s="1640">
        <f>SUM(M457:N458)</f>
        <v>0</v>
      </c>
      <c r="N459" s="1640"/>
      <c r="O459" s="1625"/>
      <c r="P459" s="1655"/>
      <c r="Q459" s="1640"/>
      <c r="R459" s="1625"/>
      <c r="S459" s="1640">
        <f>SUM(S455:T458)</f>
        <v>2503000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3756</v>
      </c>
      <c r="F461" s="1691">
        <f>IF('Part I-Project Information'!$O$37="","",G461/'Part I-Project Information'!$O$37)</f>
        <v>216278.06563039724</v>
      </c>
      <c r="G461" s="1640">
        <f>'Part IV-A-Uses of Funds'!G25</f>
        <v>1252250</v>
      </c>
      <c r="H461" s="1640">
        <f>'Part IV-A-Uses of Funds'!H25</f>
        <v>0</v>
      </c>
      <c r="I461" s="1625"/>
      <c r="J461" s="1640">
        <f>'Part IV-A-Uses of Funds'!J25</f>
        <v>1252250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1252250</v>
      </c>
      <c r="H463" s="1640"/>
      <c r="I463" s="1625"/>
      <c r="J463" s="1640">
        <f>SUM(J461:K462)</f>
        <v>1252250</v>
      </c>
      <c r="K463" s="1640"/>
      <c r="L463" s="1655"/>
      <c r="M463" s="1640">
        <f>M461</f>
        <v>0</v>
      </c>
      <c r="N463" s="1640"/>
      <c r="O463" s="1625"/>
      <c r="P463" s="1640">
        <f>P461</f>
        <v>0</v>
      </c>
      <c r="Q463" s="1640"/>
      <c r="R463" s="1625"/>
      <c r="S463" s="1640">
        <f>SUM(S461:T462)</f>
        <v>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7044175</v>
      </c>
      <c r="H465" s="1640">
        <f>'Part IV-A-Uses of Funds'!H29</f>
        <v>0</v>
      </c>
      <c r="I465" s="1625"/>
      <c r="J465" s="1640">
        <f>'Part IV-A-Uses of Funds'!J29</f>
        <v>7044175</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2800</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2799</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7044175</v>
      </c>
      <c r="H469" s="1640"/>
      <c r="I469" s="1625"/>
      <c r="J469" s="1640">
        <f>SUM(J465:K468)</f>
        <v>7044175</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2360</v>
      </c>
      <c r="C470" s="1625"/>
      <c r="D470" s="1695" t="s">
        <v>3760</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2361</v>
      </c>
      <c r="C471" s="1625"/>
      <c r="D471" s="1749">
        <f>'DCA Underwriting Assumptions'!$R$74</f>
        <v>0.06</v>
      </c>
      <c r="E471" s="1750">
        <f>D471*(G463+G469)</f>
        <v>497785.5</v>
      </c>
      <c r="F471" s="1749" t="e">
        <f>IF(($G$27+$G$33)=0,0,G471/($G$27+$G$33))</f>
        <v>#VALUE!</v>
      </c>
      <c r="G471" s="1640">
        <f>'Part IV-A-Uses of Funds'!G35</f>
        <v>497785</v>
      </c>
      <c r="H471" s="1640">
        <f>'Part IV-A-Uses of Funds'!H35</f>
        <v>0</v>
      </c>
      <c r="I471" s="1632"/>
      <c r="J471" s="1640">
        <f>'Part IV-A-Uses of Funds'!J35</f>
        <v>497785</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2756</v>
      </c>
      <c r="C472" s="1625"/>
      <c r="D472" s="1749">
        <f>'DCA Underwriting Assumptions'!$R$75</f>
        <v>0.02</v>
      </c>
      <c r="E472" s="1750">
        <f>D472*(G463+G469)</f>
        <v>165928.5</v>
      </c>
      <c r="F472" s="1749" t="e">
        <f>IF(($G$27+$G$33)=0,0,G472/($G$27+$G$33))</f>
        <v>#VALUE!</v>
      </c>
      <c r="G472" s="1640">
        <f>'Part IV-A-Uses of Funds'!G36</f>
        <v>165928</v>
      </c>
      <c r="H472" s="1640">
        <f>'Part IV-A-Uses of Funds'!H36</f>
        <v>0</v>
      </c>
      <c r="I472" s="1632"/>
      <c r="J472" s="1640">
        <f>'Part IV-A-Uses of Funds'!J36</f>
        <v>165928</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2757</v>
      </c>
      <c r="C473" s="1625"/>
      <c r="D473" s="1749">
        <f>'DCA Underwriting Assumptions'!$R$76</f>
        <v>0.06</v>
      </c>
      <c r="E473" s="1750">
        <f>D473*(G463+G469)</f>
        <v>497785.5</v>
      </c>
      <c r="F473" s="1749" t="e">
        <f>IF(($G$27+$G$33)=0,0,G473/($G$27+$G$33))</f>
        <v>#VALUE!</v>
      </c>
      <c r="G473" s="1640">
        <f>'Part IV-A-Uses of Funds'!G37</f>
        <v>497785</v>
      </c>
      <c r="H473" s="1640">
        <f>'Part IV-A-Uses of Funds'!H37</f>
        <v>0</v>
      </c>
      <c r="I473" s="1632"/>
      <c r="J473" s="1640">
        <f>'Part IV-A-Uses of Funds'!J37</f>
        <v>497785</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3761</v>
      </c>
      <c r="C474" s="1625"/>
      <c r="D474" s="1747">
        <f>SUM(D471:D473)</f>
        <v>0.14000000000000001</v>
      </c>
      <c r="E474" s="1751">
        <f>SUM(E471:E473)</f>
        <v>1161499.5</v>
      </c>
      <c r="F474" s="1742" t="s">
        <v>193</v>
      </c>
      <c r="G474" s="1640">
        <f>SUM(G471:H473)</f>
        <v>1161498</v>
      </c>
      <c r="H474" s="1640"/>
      <c r="I474" s="1625"/>
      <c r="J474" s="1640">
        <f>SUM(J471:K473)</f>
        <v>1161498</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4769</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4770</v>
      </c>
      <c r="C479" s="1754"/>
      <c r="D479" s="1625"/>
      <c r="E479" s="1624" t="s">
        <v>2764</v>
      </c>
      <c r="F479" s="1755">
        <f>B480/'Part VI-Revenues &amp; Expenses'!$O$60</f>
        <v>112594.32142857143</v>
      </c>
      <c r="G479" s="1756" t="s">
        <v>4771</v>
      </c>
      <c r="H479" s="1625"/>
      <c r="I479" s="1625"/>
      <c r="J479" s="1757">
        <f>B480/'Part VI-Revenues &amp; Expenses'!$O$62</f>
        <v>112594.32142857143</v>
      </c>
      <c r="K479" s="1757"/>
      <c r="L479" s="1625"/>
      <c r="M479" s="1758" t="s">
        <v>1414</v>
      </c>
      <c r="N479" s="1758"/>
      <c r="O479" s="1625"/>
      <c r="P479" s="1757">
        <f>B480/'Part I-Project Information'!$P$71</f>
        <v>99.651490886102621</v>
      </c>
      <c r="Q479" s="1757"/>
      <c r="R479" s="1625"/>
      <c r="S479" s="1664" t="s">
        <v>2798</v>
      </c>
      <c r="T479" s="1664"/>
      <c r="U479" s="1625"/>
      <c r="V479" s="1739"/>
      <c r="W479" s="1329">
        <f>'Part IV-A-Uses of Funds'!W43</f>
        <v>0</v>
      </c>
      <c r="X479" s="1329">
        <f>'Part IV-A-Uses of Funds'!X43</f>
        <v>0</v>
      </c>
    </row>
    <row r="480" spans="1:24">
      <c r="A480" s="1625"/>
      <c r="B480" s="1759">
        <f>G463+G469+G474+G477</f>
        <v>9457923</v>
      </c>
      <c r="C480" s="1759"/>
      <c r="D480" s="1625"/>
      <c r="E480" s="1624"/>
      <c r="F480" s="1755">
        <f>B480/'Part VI-Revenues &amp; Expenses'!$O$117</f>
        <v>102.43163948274741</v>
      </c>
      <c r="G480" s="1664" t="s">
        <v>4772</v>
      </c>
      <c r="H480" s="1625"/>
      <c r="I480" s="1625"/>
      <c r="J480" s="1757">
        <f>B480/'Part VI-Revenues &amp; Expenses'!$O$119</f>
        <v>102.43163948274741</v>
      </c>
      <c r="K480" s="1757"/>
      <c r="L480" s="1625"/>
      <c r="M480" s="1664" t="s">
        <v>2797</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4242</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1978</v>
      </c>
      <c r="C483" s="1632"/>
      <c r="D483" s="1761" t="s">
        <v>4241</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472896.15</v>
      </c>
      <c r="F483" s="1763">
        <f>G483/B480</f>
        <v>4.9999984140281117E-2</v>
      </c>
      <c r="G483" s="1640">
        <f>'Part IV-A-Uses of Funds'!G47</f>
        <v>472896</v>
      </c>
      <c r="H483" s="1640">
        <f>'Part IV-A-Uses of Funds'!H47</f>
        <v>0</v>
      </c>
      <c r="I483" s="1625"/>
      <c r="J483" s="1640">
        <f>'Part IV-A-Uses of Funds'!J47</f>
        <v>472896</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4773</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2701</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3762</v>
      </c>
      <c r="C488" s="1625"/>
      <c r="D488" s="1625"/>
      <c r="E488" s="1625"/>
      <c r="F488" s="1625"/>
      <c r="G488" s="1640">
        <f>'Part IV-A-Uses of Funds'!G52</f>
        <v>86444</v>
      </c>
      <c r="H488" s="1640">
        <f>'Part IV-A-Uses of Funds'!H52</f>
        <v>0</v>
      </c>
      <c r="I488" s="1625"/>
      <c r="J488" s="1640">
        <f>'Part IV-A-Uses of Funds'!J52</f>
        <v>86444</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3763</v>
      </c>
      <c r="C489" s="1625"/>
      <c r="D489" s="1625"/>
      <c r="E489" s="1625"/>
      <c r="F489" s="1625"/>
      <c r="G489" s="1640">
        <f>'Part IV-A-Uses of Funds'!G53</f>
        <v>212525</v>
      </c>
      <c r="H489" s="1640">
        <f>'Part IV-A-Uses of Funds'!H53</f>
        <v>0</v>
      </c>
      <c r="I489" s="1625"/>
      <c r="J489" s="1640">
        <f>'Part IV-A-Uses of Funds'!J53</f>
        <v>162525</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50000</v>
      </c>
      <c r="T489" s="1640">
        <f>'Part IV-A-Uses of Funds'!T53</f>
        <v>0</v>
      </c>
      <c r="U489" s="1625"/>
      <c r="V489" s="1739"/>
      <c r="W489" s="1329"/>
      <c r="X489" s="1329"/>
    </row>
    <row r="490" spans="1:24">
      <c r="A490" s="1625"/>
      <c r="B490" s="1625" t="s">
        <v>2363</v>
      </c>
      <c r="C490" s="1625"/>
      <c r="D490" s="1625"/>
      <c r="E490" s="1625"/>
      <c r="F490" s="1625"/>
      <c r="G490" s="1640">
        <f>'Part IV-A-Uses of Funds'!G54</f>
        <v>30000</v>
      </c>
      <c r="H490" s="1640">
        <f>'Part IV-A-Uses of Funds'!H54</f>
        <v>0</v>
      </c>
      <c r="I490" s="1625"/>
      <c r="J490" s="1640">
        <f>'Part IV-A-Uses of Funds'!J54</f>
        <v>30000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2364</v>
      </c>
      <c r="C491" s="1625"/>
      <c r="D491" s="1625"/>
      <c r="E491" s="1625"/>
      <c r="F491" s="1625"/>
      <c r="G491" s="1640">
        <f>'Part IV-A-Uses of Funds'!G55</f>
        <v>110475</v>
      </c>
      <c r="H491" s="1640">
        <f>'Part IV-A-Uses of Funds'!H55</f>
        <v>0</v>
      </c>
      <c r="I491" s="1625"/>
      <c r="J491" s="1640">
        <f>'Part IV-A-Uses of Funds'!J55</f>
        <v>110475</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0</v>
      </c>
      <c r="T491" s="1640">
        <f>'Part IV-A-Uses of Funds'!T55</f>
        <v>0</v>
      </c>
      <c r="U491" s="1625"/>
      <c r="V491" s="1739"/>
      <c r="W491" s="1329"/>
      <c r="X491" s="1329"/>
    </row>
    <row r="492" spans="1:24">
      <c r="A492" s="1625"/>
      <c r="B492" s="1625" t="s">
        <v>2365</v>
      </c>
      <c r="C492" s="1625"/>
      <c r="D492" s="1625"/>
      <c r="E492" s="1625"/>
      <c r="F492" s="1625"/>
      <c r="G492" s="1640">
        <f>'Part IV-A-Uses of Funds'!G56</f>
        <v>51056</v>
      </c>
      <c r="H492" s="1640">
        <f>'Part IV-A-Uses of Funds'!H56</f>
        <v>0</v>
      </c>
      <c r="I492" s="1625"/>
      <c r="J492" s="1640">
        <f>'Part IV-A-Uses of Funds'!J56</f>
        <v>51056</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0</v>
      </c>
      <c r="T492" s="1640">
        <f>'Part IV-A-Uses of Funds'!T56</f>
        <v>0</v>
      </c>
      <c r="U492" s="1625"/>
      <c r="V492" s="1739"/>
      <c r="W492" s="1329"/>
      <c r="X492" s="1329"/>
    </row>
    <row r="493" spans="1:24">
      <c r="A493" s="1625"/>
      <c r="B493" s="1625" t="s">
        <v>2705</v>
      </c>
      <c r="C493" s="1625"/>
      <c r="D493" s="1625"/>
      <c r="E493" s="1625"/>
      <c r="F493" s="1625"/>
      <c r="G493" s="1640">
        <f>'Part IV-A-Uses of Funds'!G57</f>
        <v>11200</v>
      </c>
      <c r="H493" s="1640">
        <f>'Part IV-A-Uses of Funds'!H57</f>
        <v>0</v>
      </c>
      <c r="I493" s="1625"/>
      <c r="J493" s="1640">
        <f>'Part IV-A-Uses of Funds'!J57</f>
        <v>11200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10000</v>
      </c>
      <c r="H494" s="1640">
        <f>'Part IV-A-Uses of Funds'!H58</f>
        <v>0</v>
      </c>
      <c r="I494" s="1625"/>
      <c r="J494" s="1640">
        <f>'Part IV-A-Uses of Funds'!J58</f>
        <v>10000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2366</v>
      </c>
      <c r="C495" s="1625"/>
      <c r="D495" s="1625"/>
      <c r="E495" s="1625"/>
      <c r="F495" s="1625"/>
      <c r="G495" s="1640">
        <f>'Part IV-A-Uses of Funds'!G59</f>
        <v>30000</v>
      </c>
      <c r="H495" s="1640">
        <f>'Part IV-A-Uses of Funds'!H59</f>
        <v>0</v>
      </c>
      <c r="I495" s="1625"/>
      <c r="J495" s="1640">
        <f>'Part IV-A-Uses of Funds'!J59</f>
        <v>30000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79500</v>
      </c>
      <c r="H496" s="1640">
        <f>'Part IV-A-Uses of Funds'!H60</f>
        <v>0</v>
      </c>
      <c r="I496" s="1625"/>
      <c r="J496" s="1640">
        <f>'Part IV-A-Uses of Funds'!J60</f>
        <v>70000</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9500</v>
      </c>
      <c r="T496" s="1640">
        <f>'Part IV-A-Uses of Funds'!T60</f>
        <v>0</v>
      </c>
      <c r="U496" s="1625"/>
      <c r="V496" s="1739"/>
      <c r="W496" s="1329"/>
      <c r="X496" s="1329"/>
    </row>
    <row r="497" spans="1:24">
      <c r="A497" s="1625"/>
      <c r="B497" s="1764" t="s">
        <v>1163</v>
      </c>
      <c r="C497" s="1625"/>
      <c r="D497" s="1763"/>
      <c r="E497" s="1763"/>
      <c r="F497" s="1765"/>
      <c r="G497" s="1640">
        <f>'Part IV-A-Uses of Funds'!G61</f>
        <v>0</v>
      </c>
      <c r="H497" s="1640">
        <f>'Part IV-A-Uses of Funds'!H61</f>
        <v>0</v>
      </c>
      <c r="I497" s="1632"/>
      <c r="J497" s="1640">
        <f>'Part IV-A-Uses of Funds'!J61</f>
        <v>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&lt;&lt; Enter description here; provide detail &amp; justification in tab Part IV-b &gt;&gt;</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Bank Misc. Fees</v>
      </c>
      <c r="D499" s="1643">
        <f>'Part IV-A-Uses of Funds'!D63</f>
        <v>0</v>
      </c>
      <c r="E499" s="1643">
        <f>'Part IV-A-Uses of Funds'!E63</f>
        <v>0</v>
      </c>
      <c r="F499" s="1643">
        <f>'Part IV-A-Uses of Funds'!F63</f>
        <v>0</v>
      </c>
      <c r="G499" s="1640">
        <f>'Part IV-A-Uses of Funds'!G63</f>
        <v>4500</v>
      </c>
      <c r="H499" s="1640">
        <f>'Part IV-A-Uses of Funds'!H63</f>
        <v>0</v>
      </c>
      <c r="I499" s="1625"/>
      <c r="J499" s="1640">
        <f>'Part IV-A-Uses of Funds'!J63</f>
        <v>4500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625700</v>
      </c>
      <c r="H500" s="1640"/>
      <c r="I500" s="1625"/>
      <c r="J500" s="1640">
        <f>SUM(J488:K499)</f>
        <v>566200</v>
      </c>
      <c r="K500" s="1640"/>
      <c r="L500" s="1655"/>
      <c r="M500" s="1640">
        <f>SUM(M488:N499)</f>
        <v>0</v>
      </c>
      <c r="N500" s="1640"/>
      <c r="O500" s="1625"/>
      <c r="P500" s="1640">
        <f>SUM(P488:Q499)</f>
        <v>0</v>
      </c>
      <c r="Q500" s="1640"/>
      <c r="R500" s="1625"/>
      <c r="S500" s="1640">
        <f>SUM(S488:T499)</f>
        <v>59500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130960</v>
      </c>
      <c r="H502" s="1640">
        <f>'Part IV-A-Uses of Funds'!H66</f>
        <v>0</v>
      </c>
      <c r="I502" s="1625"/>
      <c r="J502" s="1640">
        <f>'Part IV-A-Uses of Funds'!J66</f>
        <v>130960</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30240</v>
      </c>
      <c r="H503" s="1640">
        <f>'Part IV-A-Uses of Funds'!H67</f>
        <v>0</v>
      </c>
      <c r="I503" s="1625"/>
      <c r="J503" s="1640">
        <f>'Part IV-A-Uses of Funds'!J67</f>
        <v>30240</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3878</v>
      </c>
      <c r="E504" s="1766">
        <f>'DCA Underwriting Assumptions'!R513</f>
        <v>0</v>
      </c>
      <c r="F504" s="1622" t="str">
        <f>IF(G504&gt;E504,"CHECK!!!","")</f>
        <v>CHECK!!!</v>
      </c>
      <c r="G504" s="1640">
        <f>'Part IV-A-Uses of Funds'!G68</f>
        <v>20000</v>
      </c>
      <c r="H504" s="1640">
        <f>'Part IV-A-Uses of Funds'!H68</f>
        <v>0</v>
      </c>
      <c r="I504" s="1625"/>
      <c r="J504" s="1640">
        <f>'Part IV-A-Uses of Funds'!J68</f>
        <v>20000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9000</v>
      </c>
      <c r="H505" s="1640">
        <f>'Part IV-A-Uses of Funds'!H69</f>
        <v>0</v>
      </c>
      <c r="I505" s="1625"/>
      <c r="J505" s="1640">
        <f>'Part IV-A-Uses of Funds'!J69</f>
        <v>9000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9000</v>
      </c>
      <c r="H506" s="1640">
        <f>'Part IV-A-Uses of Funds'!H70</f>
        <v>0</v>
      </c>
      <c r="I506" s="1625"/>
      <c r="J506" s="1640">
        <f>'Part IV-A-Uses of Funds'!J70</f>
        <v>9000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0</v>
      </c>
      <c r="H507" s="1640">
        <f>'Part IV-A-Uses of Funds'!H71</f>
        <v>0</v>
      </c>
      <c r="I507" s="1625"/>
      <c r="J507" s="1640">
        <f>'Part IV-A-Uses of Funds'!J71</f>
        <v>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45000</v>
      </c>
      <c r="H508" s="1640">
        <f>'Part IV-A-Uses of Funds'!H72</f>
        <v>0</v>
      </c>
      <c r="I508" s="1625"/>
      <c r="J508" s="1640">
        <f>'Part IV-A-Uses of Funds'!J72</f>
        <v>45000</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123300</v>
      </c>
      <c r="H509" s="1640">
        <f>'Part IV-A-Uses of Funds'!H73</f>
        <v>0</v>
      </c>
      <c r="I509" s="1625"/>
      <c r="J509" s="1640">
        <f>'Part IV-A-Uses of Funds'!J73</f>
        <v>123300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0</v>
      </c>
      <c r="T509" s="1640">
        <f>'Part IV-A-Uses of Funds'!T73</f>
        <v>0</v>
      </c>
      <c r="U509" s="1625"/>
      <c r="V509" s="1739"/>
      <c r="W509" s="1329"/>
      <c r="X509" s="1329"/>
    </row>
    <row r="510" spans="1:24">
      <c r="A510" s="1625"/>
      <c r="B510" s="1625" t="s">
        <v>2066</v>
      </c>
      <c r="C510" s="1625"/>
      <c r="D510" s="1625"/>
      <c r="E510" s="1625"/>
      <c r="F510" s="1625"/>
      <c r="G510" s="1640">
        <f>'Part IV-A-Uses of Funds'!G74</f>
        <v>33000</v>
      </c>
      <c r="H510" s="1640">
        <f>'Part IV-A-Uses of Funds'!H74</f>
        <v>0</v>
      </c>
      <c r="I510" s="1625"/>
      <c r="J510" s="1640">
        <f>'Part IV-A-Uses of Funds'!J74</f>
        <v>33000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8200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8200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Intangible Taxes</v>
      </c>
      <c r="D512" s="1643">
        <f>'Part IV-A-Uses of Funds'!D76</f>
        <v>0</v>
      </c>
      <c r="E512" s="1643">
        <f>'Part IV-A-Uses of Funds'!E76</f>
        <v>0</v>
      </c>
      <c r="F512" s="1643">
        <f>'Part IV-A-Uses of Funds'!F76</f>
        <v>0</v>
      </c>
      <c r="G512" s="1640">
        <f>'Part IV-A-Uses of Funds'!G76</f>
        <v>9000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9000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417700</v>
      </c>
      <c r="H513" s="1640"/>
      <c r="I513" s="1625"/>
      <c r="J513" s="1640">
        <f>SUM(J502:K512)</f>
        <v>400500</v>
      </c>
      <c r="K513" s="1640"/>
      <c r="L513" s="1655"/>
      <c r="M513" s="1640">
        <f>SUM(M502:N512)</f>
        <v>0</v>
      </c>
      <c r="N513" s="1640"/>
      <c r="O513" s="1625"/>
      <c r="P513" s="1640">
        <f>SUM(P502:Q512)</f>
        <v>0</v>
      </c>
      <c r="Q513" s="1640"/>
      <c r="R513" s="1625"/>
      <c r="S513" s="1640">
        <f>SUM(S502:T512)</f>
        <v>17200</v>
      </c>
      <c r="T513" s="1640"/>
      <c r="U513" s="1625"/>
      <c r="V513" s="1739">
        <f>SUM(V502:V512)</f>
        <v>0</v>
      </c>
      <c r="W513" s="1329"/>
      <c r="X513" s="1329"/>
    </row>
    <row r="514" spans="1:24">
      <c r="A514" s="1625"/>
      <c r="B514" s="1622" t="s">
        <v>1281</v>
      </c>
      <c r="C514" s="1625"/>
      <c r="D514" s="1767" t="s">
        <v>3764</v>
      </c>
      <c r="E514" s="1768">
        <f>G519/'Part VI-Revenues &amp; Expenses'!$O$62</f>
        <v>2617.2619047619046</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45000</v>
      </c>
      <c r="H515" s="1640">
        <f>'Part IV-A-Uses of Funds'!H79</f>
        <v>0</v>
      </c>
      <c r="I515" s="1625"/>
      <c r="J515" s="1640">
        <f>'Part IV-A-Uses of Funds'!J79</f>
        <v>45000</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132850</v>
      </c>
      <c r="H517" s="1640">
        <f>'Part IV-A-Uses of Funds'!H81</f>
        <v>0</v>
      </c>
      <c r="I517" s="1632"/>
      <c r="J517" s="1640">
        <f>'Part IV-A-Uses of Funds'!J81</f>
        <v>132850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42000</v>
      </c>
      <c r="H518" s="1640">
        <f>'Part IV-A-Uses of Funds'!H82</f>
        <v>0</v>
      </c>
      <c r="I518" s="1632"/>
      <c r="J518" s="1640">
        <f>'Part IV-A-Uses of Funds'!J82</f>
        <v>42000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219850</v>
      </c>
      <c r="H519" s="1640"/>
      <c r="I519" s="1625"/>
      <c r="J519" s="1640">
        <f>SUM(J515:K518)</f>
        <v>219850</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30000</v>
      </c>
      <c r="H521" s="1640">
        <f>'Part IV-A-Uses of Funds'!H85</f>
        <v>0</v>
      </c>
      <c r="I521" s="1625"/>
      <c r="J521" s="1640"/>
      <c r="K521" s="1640"/>
      <c r="L521" s="1655"/>
      <c r="M521" s="1640"/>
      <c r="N521" s="1640"/>
      <c r="O521" s="1625"/>
      <c r="P521" s="1640"/>
      <c r="Q521" s="1640"/>
      <c r="R521" s="1625"/>
      <c r="S521" s="1640">
        <f>'Part IV-A-Uses of Funds'!S85</f>
        <v>30000</v>
      </c>
      <c r="T521" s="1640">
        <f>'Part IV-A-Uses of Funds'!T85</f>
        <v>0</v>
      </c>
      <c r="U521" s="1625"/>
      <c r="V521" s="1739"/>
      <c r="W521" s="1329"/>
      <c r="X521" s="1329"/>
    </row>
    <row r="522" spans="1:24">
      <c r="A522" s="1625"/>
      <c r="B522" s="1625" t="s">
        <v>1287</v>
      </c>
      <c r="C522" s="1625"/>
      <c r="D522" s="1625"/>
      <c r="E522" s="1625"/>
      <c r="F522" s="1625"/>
      <c r="G522" s="1640">
        <f>'Part IV-A-Uses of Funds'!G86</f>
        <v>35000</v>
      </c>
      <c r="H522" s="1640">
        <f>'Part IV-A-Uses of Funds'!H86</f>
        <v>0</v>
      </c>
      <c r="I522" s="1625"/>
      <c r="J522" s="1640"/>
      <c r="K522" s="1640"/>
      <c r="L522" s="1655"/>
      <c r="M522" s="1640"/>
      <c r="N522" s="1640"/>
      <c r="O522" s="1625"/>
      <c r="P522" s="1640"/>
      <c r="Q522" s="1640"/>
      <c r="R522" s="1625"/>
      <c r="S522" s="1640">
        <f>'Part IV-A-Uses of Funds'!S86</f>
        <v>35000</v>
      </c>
      <c r="T522" s="1640">
        <f>'Part IV-A-Uses of Funds'!T86</f>
        <v>0</v>
      </c>
      <c r="U522" s="1625"/>
      <c r="V522" s="1739"/>
      <c r="W522" s="1329"/>
      <c r="X522" s="1329"/>
    </row>
    <row r="523" spans="1:24">
      <c r="A523" s="1625"/>
      <c r="B523" s="1625" t="s">
        <v>1288</v>
      </c>
      <c r="C523" s="1625"/>
      <c r="D523" s="1625"/>
      <c r="E523" s="1625"/>
      <c r="F523" s="1625"/>
      <c r="G523" s="1640">
        <f>'Part IV-A-Uses of Funds'!G87</f>
        <v>12000</v>
      </c>
      <c r="H523" s="1640">
        <f>'Part IV-A-Uses of Funds'!H87</f>
        <v>0</v>
      </c>
      <c r="I523" s="1625"/>
      <c r="J523" s="1640"/>
      <c r="K523" s="1640"/>
      <c r="L523" s="1655"/>
      <c r="M523" s="1640"/>
      <c r="N523" s="1640"/>
      <c r="O523" s="1625"/>
      <c r="P523" s="1640"/>
      <c r="Q523" s="1640"/>
      <c r="R523" s="1625"/>
      <c r="S523" s="1640">
        <f>'Part IV-A-Uses of Funds'!S87</f>
        <v>12000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2315</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Perm Loan Due Diligence Docs.</v>
      </c>
      <c r="D526" s="1643">
        <f>'Part IV-A-Uses of Funds'!D90</f>
        <v>0</v>
      </c>
      <c r="E526" s="1643">
        <f>'Part IV-A-Uses of Funds'!E90</f>
        <v>0</v>
      </c>
      <c r="F526" s="1643">
        <f>'Part IV-A-Uses of Funds'!F90</f>
        <v>0</v>
      </c>
      <c r="G526" s="1640">
        <f>'Part IV-A-Uses of Funds'!G90</f>
        <v>26000</v>
      </c>
      <c r="H526" s="1640">
        <f>'Part IV-A-Uses of Funds'!H90</f>
        <v>0</v>
      </c>
      <c r="I526" s="1625"/>
      <c r="J526" s="1640"/>
      <c r="K526" s="1640"/>
      <c r="L526" s="1655"/>
      <c r="M526" s="1640"/>
      <c r="N526" s="1640"/>
      <c r="O526" s="1625"/>
      <c r="P526" s="1640"/>
      <c r="Q526" s="1640"/>
      <c r="R526" s="1625"/>
      <c r="S526" s="1640">
        <f>'Part IV-A-Uses of Funds'!S90</f>
        <v>26000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103000</v>
      </c>
      <c r="H527" s="1640"/>
      <c r="I527" s="1625"/>
      <c r="J527" s="1640"/>
      <c r="K527" s="1640"/>
      <c r="L527" s="1655"/>
      <c r="M527" s="1640"/>
      <c r="N527" s="1640"/>
      <c r="O527" s="1625"/>
      <c r="P527" s="1640"/>
      <c r="Q527" s="1640"/>
      <c r="R527" s="1625"/>
      <c r="S527" s="1640">
        <f>SUM(S521:T526)</f>
        <v>103000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4774</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2701</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3986</v>
      </c>
      <c r="C534" s="1625"/>
      <c r="D534" s="1625"/>
      <c r="E534" s="1625"/>
      <c r="F534" s="1625"/>
      <c r="G534" s="1640">
        <f>'Part IV-A-Uses of Funds'!G98</f>
        <v>0</v>
      </c>
      <c r="H534" s="1640">
        <f>'Part IV-A-Uses of Funds'!H98</f>
        <v>0</v>
      </c>
      <c r="I534" s="1625"/>
      <c r="J534" s="1655"/>
      <c r="K534" s="1655"/>
      <c r="L534" s="1771"/>
      <c r="M534" s="1655"/>
      <c r="N534" s="1655"/>
      <c r="O534" s="1625"/>
      <c r="P534" s="1655"/>
      <c r="Q534" s="1655"/>
      <c r="R534" s="1625"/>
      <c r="S534" s="1640">
        <f>'Part IV-A-Uses of Funds'!S98</f>
        <v>0</v>
      </c>
      <c r="T534" s="1640">
        <f>'Part IV-A-Uses of Funds'!T98</f>
        <v>0</v>
      </c>
      <c r="U534" s="1625"/>
      <c r="V534" s="1739"/>
      <c r="W534" s="1329"/>
      <c r="X534" s="1329"/>
    </row>
    <row r="535" spans="1:24">
      <c r="A535" s="1625"/>
      <c r="B535" s="1625" t="s">
        <v>524</v>
      </c>
      <c r="C535" s="1625"/>
      <c r="D535" s="1625"/>
      <c r="E535" s="1772">
        <f>'DCA Underwriting Assumptions'!$Q$88*J611</f>
        <v>73865.600000000006</v>
      </c>
      <c r="F535" s="1772"/>
      <c r="G535" s="1640">
        <f>'Part IV-A-Uses of Funds'!G99</f>
        <v>73866</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73866</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67200</v>
      </c>
      <c r="F536" s="1772"/>
      <c r="G536" s="1640">
        <f>'Part IV-A-Uses of Funds'!G100</f>
        <v>67200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67200</v>
      </c>
      <c r="T536" s="1640">
        <f>'Part IV-A-Uses of Funds'!T100</f>
        <v>0</v>
      </c>
      <c r="U536" s="1625"/>
      <c r="V536" s="1739"/>
      <c r="W536" s="1329"/>
      <c r="X536" s="1329"/>
    </row>
    <row r="537" spans="1:24">
      <c r="A537" s="1625"/>
      <c r="B537" s="1625" t="s">
        <v>4298</v>
      </c>
      <c r="C537" s="1625"/>
      <c r="D537" s="1625"/>
      <c r="E537" s="1625"/>
      <c r="F537" s="1774">
        <f>'DCA Underwriting Assumptions'!$Q$90</f>
        <v>3000</v>
      </c>
      <c r="G537" s="1640">
        <f>'Part IV-A-Uses of Funds'!G101</f>
        <v>3000</v>
      </c>
      <c r="H537" s="1640">
        <f>'Part IV-A-Uses of Funds'!H101</f>
        <v>0</v>
      </c>
      <c r="I537" s="1625"/>
      <c r="J537" s="1632"/>
      <c r="K537" s="1632"/>
      <c r="L537" s="1632"/>
      <c r="M537" s="1632"/>
      <c r="N537" s="1632"/>
      <c r="O537" s="1632"/>
      <c r="P537" s="1632"/>
      <c r="Q537" s="1632"/>
      <c r="R537" s="1625"/>
      <c r="S537" s="1640">
        <f>'Part IV-A-Uses of Funds'!S101</f>
        <v>3000</v>
      </c>
      <c r="T537" s="1640">
        <f>'Part IV-A-Uses of Funds'!T101</f>
        <v>0</v>
      </c>
      <c r="U537" s="1625"/>
      <c r="V537" s="1739"/>
      <c r="W537" s="1329"/>
      <c r="X537" s="1329"/>
    </row>
    <row r="538" spans="1:24">
      <c r="A538" s="1625"/>
      <c r="B538" s="1625" t="s">
        <v>4299</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153566</v>
      </c>
      <c r="H541" s="1640"/>
      <c r="I541" s="1625"/>
      <c r="J541" s="1655"/>
      <c r="K541" s="1655"/>
      <c r="L541" s="1655"/>
      <c r="M541" s="1655"/>
      <c r="N541" s="1655"/>
      <c r="O541" s="1625"/>
      <c r="P541" s="1655"/>
      <c r="Q541" s="1655"/>
      <c r="R541" s="1625"/>
      <c r="S541" s="1640">
        <f>SUM(S532:T540)</f>
        <v>153566</v>
      </c>
      <c r="T541" s="1640"/>
      <c r="U541" s="1625"/>
      <c r="V541" s="1739">
        <f>SUM(V532:V540)</f>
        <v>0</v>
      </c>
      <c r="W541" s="1775"/>
      <c r="X541" s="1775"/>
    </row>
    <row r="542" spans="1:24">
      <c r="A542" s="1625"/>
      <c r="B542" s="1622" t="s">
        <v>2316</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4000</v>
      </c>
      <c r="H543" s="1640">
        <f>'Part IV-A-Uses of Funds'!H107</f>
        <v>0</v>
      </c>
      <c r="I543" s="1625"/>
      <c r="J543" s="1640"/>
      <c r="K543" s="1640"/>
      <c r="L543" s="1655"/>
      <c r="M543" s="1640"/>
      <c r="N543" s="1640"/>
      <c r="O543" s="1625"/>
      <c r="P543" s="1640"/>
      <c r="Q543" s="1640"/>
      <c r="R543" s="1625"/>
      <c r="S543" s="1640">
        <f>'Part IV-A-Uses of Funds'!S107</f>
        <v>4000</v>
      </c>
      <c r="T543" s="1640">
        <f>'Part IV-A-Uses of Funds'!T107</f>
        <v>0</v>
      </c>
      <c r="U543" s="1625"/>
      <c r="V543" s="1739"/>
      <c r="W543" s="1329"/>
      <c r="X543" s="1329"/>
    </row>
    <row r="544" spans="1:24">
      <c r="A544" s="1625"/>
      <c r="B544" s="1625" t="s">
        <v>282</v>
      </c>
      <c r="C544" s="1625"/>
      <c r="D544" s="1625"/>
      <c r="E544" s="1625"/>
      <c r="F544" s="1625"/>
      <c r="G544" s="1640">
        <f>'Part IV-A-Uses of Funds'!G108</f>
        <v>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2403</v>
      </c>
      <c r="C545" s="1625"/>
      <c r="D545" s="1625"/>
      <c r="E545" s="1625"/>
      <c r="F545" s="1625"/>
      <c r="G545" s="1640">
        <f>'Part IV-A-Uses of Funds'!G109</f>
        <v>9000</v>
      </c>
      <c r="H545" s="1640">
        <f>'Part IV-A-Uses of Funds'!H109</f>
        <v>0</v>
      </c>
      <c r="I545" s="1625"/>
      <c r="J545" s="1640"/>
      <c r="K545" s="1640"/>
      <c r="L545" s="1655"/>
      <c r="M545" s="1640"/>
      <c r="N545" s="1640"/>
      <c r="O545" s="1625"/>
      <c r="P545" s="1640"/>
      <c r="Q545" s="1640"/>
      <c r="R545" s="1625"/>
      <c r="S545" s="1640">
        <f>'Part IV-A-Uses of Funds'!S109</f>
        <v>9000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13000</v>
      </c>
      <c r="H547" s="1640"/>
      <c r="I547" s="1625"/>
      <c r="J547" s="1640"/>
      <c r="K547" s="1640"/>
      <c r="L547" s="1655"/>
      <c r="M547" s="1640"/>
      <c r="N547" s="1640"/>
      <c r="O547" s="1625"/>
      <c r="P547" s="1640"/>
      <c r="Q547" s="1640"/>
      <c r="R547" s="1625"/>
      <c r="S547" s="1640">
        <f>SUM(S543:T546)</f>
        <v>13000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1875</v>
      </c>
      <c r="C549" s="1625"/>
      <c r="D549" s="1625"/>
      <c r="E549" s="1625"/>
      <c r="F549" s="1722">
        <f>IF($G$118=0,0,G549/$G$118)</f>
        <v>0</v>
      </c>
      <c r="G549" s="1640">
        <f>'Part IV-A-Uses of Funds'!G113</f>
        <v>0</v>
      </c>
      <c r="H549" s="1640">
        <f>'Part IV-A-Uses of Funds'!H113</f>
        <v>0</v>
      </c>
      <c r="I549" s="1625"/>
      <c r="J549" s="1640">
        <f>'Part IV-A-Uses of Funds'!J113</f>
        <v>0</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4251</v>
      </c>
      <c r="C550" s="1625"/>
      <c r="D550" s="1625"/>
      <c r="E550" s="1625"/>
      <c r="F550" s="1776">
        <f>'Part IV-A-Uses of Funds'!F114</f>
        <v>320000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1876</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3660</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1868</v>
      </c>
      <c r="C553" s="1625"/>
      <c r="D553" s="1625"/>
      <c r="E553" s="1625"/>
      <c r="F553" s="1722">
        <f>IF($G$118=0,0,G553/$G$118)</f>
        <v>0</v>
      </c>
      <c r="G553" s="1640">
        <f>'Part IV-A-Uses of Funds'!G117</f>
        <v>1650000</v>
      </c>
      <c r="H553" s="1640">
        <f>'Part IV-A-Uses of Funds'!H117</f>
        <v>0</v>
      </c>
      <c r="I553" s="1625"/>
      <c r="J553" s="1640">
        <f>'Part IV-A-Uses of Funds'!J117</f>
        <v>1650000</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1650000</v>
      </c>
      <c r="H554" s="1640"/>
      <c r="I554" s="1625"/>
      <c r="J554" s="1640">
        <f>SUM(J549:K553)</f>
        <v>1650000</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20000</v>
      </c>
      <c r="H556" s="1640">
        <f>'Part IV-A-Uses of Funds'!H120</f>
        <v>0</v>
      </c>
      <c r="I556" s="1625"/>
      <c r="J556" s="1771"/>
      <c r="K556" s="1771"/>
      <c r="L556" s="1771"/>
      <c r="M556" s="1771"/>
      <c r="N556" s="1771"/>
      <c r="O556" s="1625"/>
      <c r="P556" s="1771"/>
      <c r="Q556" s="1771"/>
      <c r="R556" s="1625"/>
      <c r="S556" s="1640">
        <f>'Part IV-A-Uses of Funds'!S120</f>
        <v>20000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88206</v>
      </c>
      <c r="G557" s="1640">
        <f>'Part IV-A-Uses of Funds'!G121</f>
        <v>88206</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88206</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273074.93026006944</v>
      </c>
      <c r="G558" s="1640">
        <f>'Part IV-A-Uses of Funds'!G122</f>
        <v>273075</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273075</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3591</v>
      </c>
      <c r="F560" s="1691">
        <f>IF('Part VI-Revenues &amp; Expenses'!$O$62=0,0,G560/'Part VI-Revenues &amp; Expenses'!$O$62)</f>
        <v>357.14285714285717</v>
      </c>
      <c r="G560" s="1640">
        <f>'Part IV-A-Uses of Funds'!G124</f>
        <v>30000</v>
      </c>
      <c r="H560" s="1640">
        <f>'Part IV-A-Uses of Funds'!H124</f>
        <v>0</v>
      </c>
      <c r="I560" s="1625"/>
      <c r="J560" s="1640">
        <f>'Part IV-A-Uses of Funds'!J124</f>
        <v>30000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411281</v>
      </c>
      <c r="H562" s="1640"/>
      <c r="I562" s="1625"/>
      <c r="J562" s="1640">
        <f>SUM(J560:K561)</f>
        <v>30000</v>
      </c>
      <c r="K562" s="1640"/>
      <c r="L562" s="1655"/>
      <c r="M562" s="1640">
        <f>SUM(M560:N561)</f>
        <v>0</v>
      </c>
      <c r="N562" s="1640"/>
      <c r="O562" s="1625"/>
      <c r="P562" s="1640">
        <f>SUM(P560:Q561)</f>
        <v>0</v>
      </c>
      <c r="Q562" s="1640"/>
      <c r="R562" s="1625"/>
      <c r="S562" s="1640">
        <f>SUM(S556:T561)</f>
        <v>381281</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Copying/UPS/FedEx, etc.</v>
      </c>
      <c r="D565" s="1643">
        <f>'Part IV-A-Uses of Funds'!D129</f>
        <v>0</v>
      </c>
      <c r="E565" s="1643">
        <f>'Part IV-A-Uses of Funds'!E129</f>
        <v>0</v>
      </c>
      <c r="F565" s="1643">
        <f>'Part IV-A-Uses of Funds'!F129</f>
        <v>0</v>
      </c>
      <c r="G565" s="1640">
        <f>'Part IV-A-Uses of Funds'!G129</f>
        <v>7982</v>
      </c>
      <c r="H565" s="1640">
        <f>'Part IV-A-Uses of Funds'!H129</f>
        <v>0</v>
      </c>
      <c r="I565" s="1625"/>
      <c r="J565" s="1640">
        <f>'Part IV-A-Uses of Funds'!J129</f>
        <v>7982</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7982</v>
      </c>
      <c r="H566" s="1640"/>
      <c r="I566" s="1625"/>
      <c r="J566" s="1640">
        <f>SUM(J564:K565)</f>
        <v>7982</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4775</v>
      </c>
      <c r="C568" s="1625"/>
      <c r="D568" s="1625"/>
      <c r="E568" s="1625"/>
      <c r="F568" s="1625"/>
      <c r="G568" s="1781">
        <f>G453+G459+G463+G469+G474+G477+G483+G500+G513+G519+G527+G541+G547+G554+G562+G566</f>
        <v>16105048</v>
      </c>
      <c r="H568" s="1781"/>
      <c r="I568" s="1625"/>
      <c r="J568" s="1781">
        <f>J453+J459+J463+J469+J474+J477+J483+J500+J513+J519+J527+J541+J547+J554+J562+J566</f>
        <v>12874501</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3230547</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4776</v>
      </c>
      <c r="C570" s="1754"/>
      <c r="D570" s="1783">
        <f>IF('Part VI-Revenues &amp; Expenses'!$O$62=0,0,G568/'Part VI-Revenues &amp; Expenses'!$O$62)</f>
        <v>191726.76190476189</v>
      </c>
      <c r="E570" s="1783"/>
      <c r="F570" s="1770" t="s">
        <v>2783</v>
      </c>
      <c r="G570" s="1783">
        <f>IF('Part I-Project Information'!$P$71=0,0,G568/'Part I-Project Information'!$P$71)</f>
        <v>169.6875777051944</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2061</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2169</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1878</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1879</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1880</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2357</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12874501</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2237</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2238</v>
      </c>
      <c r="C587" s="1625"/>
      <c r="D587" s="1625"/>
      <c r="E587" s="1625"/>
      <c r="F587" s="1625"/>
      <c r="G587" s="1625"/>
      <c r="H587" s="1625"/>
      <c r="I587" s="1625"/>
      <c r="J587" s="1661">
        <f>J585-J586</f>
        <v>12874501</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&lt;&lt;Select&gt;&gt;</v>
      </c>
      <c r="I588" s="1625">
        <f>'Part IV-A-Uses of Funds'!I152</f>
        <v>0</v>
      </c>
      <c r="J588" s="1788">
        <f>'Part IV-A-Uses of Funds'!J152</f>
        <v>1</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2071</v>
      </c>
      <c r="C589" s="1625"/>
      <c r="D589" s="1625"/>
      <c r="E589" s="1625"/>
      <c r="F589" s="1625"/>
      <c r="G589" s="1625"/>
      <c r="H589" s="1625"/>
      <c r="I589" s="1625"/>
      <c r="J589" s="1661">
        <f>J587*J588</f>
        <v>12874501</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2559</v>
      </c>
      <c r="C590" s="1625"/>
      <c r="D590" s="1625"/>
      <c r="E590" s="1625"/>
      <c r="F590" s="1625"/>
      <c r="G590" s="1625"/>
      <c r="H590" s="1625"/>
      <c r="I590" s="1625"/>
      <c r="J590" s="1789">
        <f>MIN('Part VI-Revenues &amp; Expenses'!$O$58/'Part VI-Revenues &amp; Expenses'!$O$60,'Part VI-Revenues &amp; Expenses'!$O$115/'Part VI-Revenues &amp; Expenses'!$O$117)</f>
        <v>0.79685706240388154</v>
      </c>
      <c r="K590" s="1789"/>
      <c r="L590" s="1625"/>
      <c r="M590" s="1789">
        <f>MIN('Part VI-Revenues &amp; Expenses'!$O$58/'Part VI-Revenues &amp; Expenses'!$O$60,'Part VI-Revenues &amp; Expenses'!$O$115/'Part VI-Revenues &amp; Expenses'!$O$117)</f>
        <v>0.79685706240388154</v>
      </c>
      <c r="N590" s="1789"/>
      <c r="O590" s="1625"/>
      <c r="P590" s="1789">
        <f>MIN('Part VI-Revenues &amp; Expenses'!$O$58/'Part VI-Revenues &amp; Expenses'!$O$60,'Part VI-Revenues &amp; Expenses'!$O$115/'Part VI-Revenues &amp; Expenses'!$O$117)</f>
        <v>0.79685706240388154</v>
      </c>
      <c r="Q590" s="1789"/>
      <c r="R590" s="1625"/>
      <c r="S590" s="1625"/>
      <c r="T590" s="1625"/>
      <c r="U590" s="1625"/>
      <c r="V590" s="1739"/>
      <c r="W590" s="1329"/>
      <c r="X590" s="1329"/>
    </row>
    <row r="591" spans="1:24">
      <c r="A591" s="1625"/>
      <c r="B591" s="1625" t="s">
        <v>2062</v>
      </c>
      <c r="C591" s="1625"/>
      <c r="D591" s="1625"/>
      <c r="E591" s="1625"/>
      <c r="F591" s="1625"/>
      <c r="G591" s="1625"/>
      <c r="H591" s="1625"/>
      <c r="I591" s="1625"/>
      <c r="J591" s="1661">
        <f>J589*J590</f>
        <v>10259137.046775835</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2063</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2560</v>
      </c>
      <c r="C593" s="1625"/>
      <c r="D593" s="1625"/>
      <c r="E593" s="1625"/>
      <c r="F593" s="1625"/>
      <c r="G593" s="1625"/>
      <c r="H593" s="1625"/>
      <c r="I593" s="1625"/>
      <c r="J593" s="1661">
        <f>J591*J592</f>
        <v>923322.33420982503</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923322.33420982503</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4777</v>
      </c>
      <c r="C598" s="1625"/>
      <c r="D598" s="1625"/>
      <c r="E598" s="1625"/>
      <c r="F598" s="1625"/>
      <c r="G598" s="1748" t="str">
        <f>IF(J599&gt;J598,"TDC exceeds QAP PUCL!","")</f>
        <v/>
      </c>
      <c r="H598" s="1748"/>
      <c r="I598" s="1748"/>
      <c r="J598" s="1718">
        <f>'Part VIII-Threshold Criteria'!$P$63</f>
        <v>16792844</v>
      </c>
      <c r="K598" s="1718"/>
      <c r="L598" s="1718"/>
      <c r="M598" s="1792" t="s">
        <v>2766</v>
      </c>
      <c r="N598" s="1792"/>
      <c r="O598" s="1792"/>
      <c r="P598" s="1792"/>
      <c r="Q598" s="1792"/>
      <c r="R598" s="1792"/>
      <c r="S598" s="1792" t="s">
        <v>3701</v>
      </c>
      <c r="T598" s="1792"/>
      <c r="U598" s="1625"/>
      <c r="V598" s="1739"/>
      <c r="W598" s="1329"/>
      <c r="X598" s="1329"/>
    </row>
    <row r="599" spans="1:24">
      <c r="A599" s="1625"/>
      <c r="B599" s="1625" t="s">
        <v>4778</v>
      </c>
      <c r="C599" s="1625"/>
      <c r="D599" s="1625"/>
      <c r="E599" s="1625"/>
      <c r="F599" s="1625"/>
      <c r="G599" s="1625"/>
      <c r="H599" s="1625"/>
      <c r="I599" s="1625"/>
      <c r="J599" s="1661">
        <f>'Part IV-A-Uses of Funds'!J163</f>
        <v>16105048</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3000000</v>
      </c>
      <c r="K600" s="1661"/>
      <c r="L600" s="1661"/>
      <c r="M600" s="1792"/>
      <c r="N600" s="1792"/>
      <c r="O600" s="1792"/>
      <c r="P600" s="1792"/>
      <c r="Q600" s="1792"/>
      <c r="R600" s="1792"/>
      <c r="S600" s="1792"/>
      <c r="T600" s="1792"/>
      <c r="U600" s="1625"/>
      <c r="V600" s="1739"/>
      <c r="W600" s="1329"/>
      <c r="X600" s="1329"/>
    </row>
    <row r="601" spans="1:24" ht="13.5">
      <c r="A601" s="1625"/>
      <c r="B601" s="1625" t="s">
        <v>2249</v>
      </c>
      <c r="C601" s="1625"/>
      <c r="D601" s="1625"/>
      <c r="E601" s="1625"/>
      <c r="F601" s="1625"/>
      <c r="G601" s="1625"/>
      <c r="H601" s="1625"/>
      <c r="I601" s="1625"/>
      <c r="J601" s="1661">
        <f>+J599-J600</f>
        <v>13105048</v>
      </c>
      <c r="K601" s="1661"/>
      <c r="L601" s="1661"/>
      <c r="M601" s="1637" t="s">
        <v>2767</v>
      </c>
      <c r="N601" s="1637"/>
      <c r="O601" s="1793">
        <f>'Part III-Sources of Funds'!$I$41</f>
        <v>0</v>
      </c>
      <c r="P601" s="1793"/>
      <c r="Q601" s="1793"/>
      <c r="R601" s="1793"/>
      <c r="S601" s="1794" t="s">
        <v>1675</v>
      </c>
      <c r="T601" s="1795" t="str">
        <f>'Part IV-A-Uses of Funds'!T165</f>
        <v>No</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1310504.8</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4779</v>
      </c>
      <c r="C604" s="1625"/>
      <c r="D604" s="1625"/>
      <c r="E604" s="1625"/>
      <c r="F604" s="1625"/>
      <c r="G604" s="1625"/>
      <c r="H604" s="1625"/>
      <c r="I604" s="1625"/>
      <c r="J604" s="1796">
        <f>N604+Q604</f>
        <v>1.38</v>
      </c>
      <c r="K604" s="1796"/>
      <c r="L604" s="1796"/>
      <c r="M604" s="1630" t="s">
        <v>1301</v>
      </c>
      <c r="N604" s="1797">
        <f>'Part IV-A-Uses of Funds'!N168</f>
        <v>0.88</v>
      </c>
      <c r="O604" s="1797">
        <f>'Part IV-A-Uses of Funds'!O168</f>
        <v>0</v>
      </c>
      <c r="P604" s="1630" t="s">
        <v>618</v>
      </c>
      <c r="Q604" s="1797">
        <f>'Part IV-A-Uses of Funds'!Q168</f>
        <v>0.5</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949641.15942028991</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4780</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923322.33420982503</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4781</v>
      </c>
      <c r="C609" s="1625"/>
      <c r="D609" s="1625"/>
      <c r="E609" s="1625"/>
      <c r="F609" s="1625"/>
      <c r="G609" s="1625"/>
      <c r="H609" s="1625"/>
      <c r="I609" s="1625"/>
      <c r="J609" s="1720">
        <f>'Part IV-A-Uses of Funds'!J173</f>
        <v>923320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4782</v>
      </c>
      <c r="C611" s="1625"/>
      <c r="D611" s="1632"/>
      <c r="E611" s="1632"/>
      <c r="F611" s="1633"/>
      <c r="G611" s="1625"/>
      <c r="H611" s="1625"/>
      <c r="I611" s="1625"/>
      <c r="J611" s="1720">
        <f>IF(J609="",0,+MIN(J607,J609))</f>
        <v>923320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 xml:space="preserve">* To all applicants: in addition to your other comments, please provide methodology for determining applicable construction hard costs.
  Tap Fees:   Sewer Tap Fees: $500 x84 units =$42,000.    Water Tap Fees:  $1500x 84 units= $126,000 + 2" clubhouse meter $3,425 plus a 2" irrigation meter for $3,425.     Further explanation of these costs  are in TAB 44.
Construction Inspection Fees are based on $700 a month for 16 months.  
 Construction costs are $112,594.32 /unit which is within the limits of  HUD's 2017  PIH Office of Capital Improvements total development costs for the Columbus MSA .   See a Construction Hard Costs Schedule of Values in TAB 01.  Costs were determined based upon most current costs from similar projects.   Construction and Bridge Loan Financing Fees are calculated at 1%.   
DCA requires an Operating Deficit Reserve in the amount of 6 months operating expenses plus 6 months of debt service.  (176,400 + 96,663= $273,063 ).  
Developer fee calculation:  TDC $16,105,048- Land $2,500,000 -Builder Profit $497,785- Developer Fee $1,650,000- reserves $361,263= $11,096,000* 15% = $1,664,400  max developer fee.  Applicant budgeted $1,650,000 for developer fee.
 An Enterprise qualified TA provider, as required by the QAP is $35,500 even though this line item cannot be more than $20,000.  
Furniture Fixtures and Equipment include $20,000 for furnishings for the clubhouse and $10,000 for office equipment.  
Accounting: DCA's  Cost Certification $12,500 and Contractor's Cost Cert $10,000,  +$3,000 for Carryover Report + $7,500 for dscr analysis.    Accessibilty Inspections &amp; Plan Review: Contract will be approximately $9,000 based upon past projects.
Calculation of the Construction/Bridge Loan interest is 50% of the loan amount multiplied by the interest rate.  $3,000,000*50%*4.91%*1.5=$110,475 + $8,644,384 * 50% * 4.91%=$212,525. The construction loan does not get paid off until stabilization, therefore the interest is carried out longer than the bridge loan.
Interest on the bridge loan is 30 day libor plus 300 basis points or 4.91% .  30-day LIBOR plus 300 basis points for May 2018  is 1.91. See TAB 01 for documentation. 
Demolition:  There is a small foundation and wall on the site that will be demolished.
All sound mitigation costs are included in the construction cost breakdown located in Tab 44.
            </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2711</v>
      </c>
      <c r="X615" s="1799"/>
    </row>
    <row r="623" spans="1:24" ht="15.75">
      <c r="A623" s="1800" t="str">
        <f>CONCATENATE("PART FOUR (b) -  OTHER COSTS","  -  ",'Part I-Project Information'!$O$6," - ",'Part I-Project Information'!$F$34,"  -  ",'Part I-Project Information'!$F$38,"  -  ",'Part I-Project Information'!$J$39,",  ","County")</f>
        <v>PART FOUR (b) -  OTHER COSTS  -  2018-021 - Grayling Place  -  Columbus  -  Muscogee,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3742</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4783</v>
      </c>
      <c r="B627" s="1803"/>
      <c r="C627" s="1803"/>
      <c r="D627" s="1803"/>
      <c r="E627" s="1801"/>
      <c r="F627" s="1804" t="s">
        <v>3733</v>
      </c>
      <c r="G627" s="1805"/>
      <c r="H627" s="1804" t="s">
        <v>3734</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Environmental:  Lead in Soils Mitigation</v>
      </c>
      <c r="B631" s="1810"/>
      <c r="C631" s="1810"/>
      <c r="D631" s="1810"/>
      <c r="E631" s="1807"/>
      <c r="F631" s="1811" t="str">
        <f>'Part IV-B-Other Items'!F9</f>
        <v>A small amount of lead in soils was found on this site.  These soils will be removed prior to the start of construction. See proposal for this work in Tab 44.</v>
      </c>
      <c r="G631" s="1809"/>
      <c r="H631" s="1811" t="str">
        <f>'Part IV-B-Other Items'!H9</f>
        <v>These costs are related to the construction of the building and are allowed in basis.</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3736</v>
      </c>
      <c r="B634" s="1813">
        <f>'Part IV-A-Uses of Funds'!$G$14</f>
        <v>12880</v>
      </c>
      <c r="C634" s="1812" t="s">
        <v>1803</v>
      </c>
      <c r="D634" s="1813">
        <f>'Part IV-A-Uses of Funds'!$J$14+'Part IV-A-Uses of Funds'!$M$14+'Part IV-A-Uses of Funds'!$P$14</f>
        <v>12880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3736</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3736</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3735</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3736</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&lt;&lt; Enter description here; provide detail &amp; justification in tab Part IV-b &gt;&gt;</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3736</v>
      </c>
      <c r="B656" s="1813">
        <f>'Part IV-A-Uses of Funds'!$G$62</f>
        <v>0</v>
      </c>
      <c r="C656" s="1812" t="s">
        <v>1803</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Bank Misc. Fees</v>
      </c>
      <c r="B658" s="1810"/>
      <c r="C658" s="1810"/>
      <c r="D658" s="1810"/>
      <c r="E658" s="1809"/>
      <c r="F658" s="1811" t="str">
        <f>'Part IV-B-Other Items'!F36</f>
        <v>When closing the bridge loan, Regions Bank charges an up front plan and cost review fee, an appraisal fee, flood certificate, environmental review fee, and an accounting forcast charge.</v>
      </c>
      <c r="G658" s="1809"/>
      <c r="H658" s="1811" t="str">
        <f>'Part IV-B-Other Items'!H36</f>
        <v>These costs are related to the construction of the building and are allowed in basis.</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3736</v>
      </c>
      <c r="B661" s="1813">
        <f>'Part IV-A-Uses of Funds'!$G$63</f>
        <v>4500</v>
      </c>
      <c r="C661" s="1812" t="s">
        <v>1803</v>
      </c>
      <c r="D661" s="1813">
        <f>'Part IV-A-Uses of Funds'!$J$63+'Part IV-A-Uses of Funds'!$M$63+'Part IV-A-Uses of Funds'!$P$63</f>
        <v>4500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Intangible Taxes</v>
      </c>
      <c r="B664" s="1810"/>
      <c r="C664" s="1810"/>
      <c r="D664" s="1810"/>
      <c r="E664" s="1807"/>
      <c r="F664" s="1811" t="str">
        <f>'Part IV-B-Other Items'!F42</f>
        <v>Intangible taxes in Georgia are $1.50 per $500 of the long term debt, capped at $25,000. Our perm loan amount is $3,000,000.  The loan amount / $500 = 6,200 x $1.50 =9,000.00.</v>
      </c>
      <c r="G664" s="1809"/>
      <c r="H664" s="1811" t="str">
        <f>'Part IV-B-Other Items'!H42</f>
        <v>This item is not included in basis.</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3736</v>
      </c>
      <c r="B667" s="1813">
        <f>'Part IV-A-Uses of Funds'!$G$76</f>
        <v>9000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Perm Loan Due Diligence Docs.</v>
      </c>
      <c r="B670" s="1810"/>
      <c r="C670" s="1810"/>
      <c r="D670" s="1810"/>
      <c r="E670" s="1807"/>
      <c r="F670" s="1811" t="str">
        <f>'Part IV-B-Other Items'!F48</f>
        <v>Our permanent lender charges this amount for 3rd party reports such as a market study, phase I, zoning report, underwriting report and insurance review.</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3736</v>
      </c>
      <c r="B673" s="1813">
        <f>'Part IV-A-Uses of Funds'!$G$90</f>
        <v>26000</v>
      </c>
      <c r="C673" s="1817"/>
      <c r="D673" s="1817"/>
      <c r="E673" s="1809"/>
      <c r="F673" s="1811"/>
      <c r="G673" s="1809"/>
      <c r="H673" s="1807"/>
    </row>
    <row r="674" spans="1:8" ht="13.5">
      <c r="A674" s="1809"/>
      <c r="B674" s="1809"/>
      <c r="C674" s="1809"/>
      <c r="D674" s="1809"/>
      <c r="E674" s="1809"/>
      <c r="F674" s="1811"/>
      <c r="G674" s="1815"/>
      <c r="H674" s="1807"/>
    </row>
    <row r="675" spans="1:8" ht="13.5">
      <c r="A675" s="1808" t="s">
        <v>4784</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3736</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3736</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4785</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3736</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3736</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4786</v>
      </c>
      <c r="B698" s="1814"/>
      <c r="C698" s="1809"/>
      <c r="D698" s="1809"/>
      <c r="E698" s="1809"/>
      <c r="F698" s="1809"/>
      <c r="G698" s="1815"/>
      <c r="H698" s="1807"/>
    </row>
    <row r="699" spans="1:8" ht="13.5" customHeight="1">
      <c r="A699" s="1810" t="str">
        <f>'Part IV-A-Uses of Funds'!$C$129</f>
        <v>Copying/UPS/FedEx, etc.</v>
      </c>
      <c r="B699" s="1810"/>
      <c r="C699" s="1810"/>
      <c r="D699" s="1810"/>
      <c r="E699" s="1807"/>
      <c r="F699" s="1811" t="str">
        <f>'Part IV-B-Other Items'!F77</f>
        <v xml:space="preserve">This line item includes costs associated with printing and copying plans, specifications,  applications and other project documents during the development process.  Also included are overnight delivery service costs (UPS, FedEx) and mailing costs. </v>
      </c>
      <c r="G699" s="1809"/>
      <c r="H699" s="1811" t="str">
        <f>'Part IV-B-Other Items'!H77</f>
        <v>These costs are related to the construction of the building and are allowed in basis.</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3736</v>
      </c>
      <c r="B702" s="1813">
        <f>'Part IV-A-Uses of Funds'!$G$129</f>
        <v>7982</v>
      </c>
      <c r="C702" s="1812" t="s">
        <v>1803</v>
      </c>
      <c r="D702" s="1813">
        <f>'Part IV-A-Uses of Funds'!$J$129+'Part IV-A-Uses of Funds'!$M$129+'Part IV-A-Uses of Funds'!$P$129</f>
        <v>7982</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2018-021 Grayling Place,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3834</v>
      </c>
    </row>
    <row r="716" spans="1:13" ht="51">
      <c r="A716" s="1821" t="s">
        <v>622</v>
      </c>
      <c r="B716" s="1821" t="s">
        <v>2244</v>
      </c>
      <c r="F716" s="683" t="s">
        <v>2537</v>
      </c>
      <c r="I716" s="1822" t="str">
        <f>'Part V-Utility Allowances'!I7</f>
        <v>The Housing Authority of the City of Columbus</v>
      </c>
      <c r="J716" s="1822"/>
      <c r="K716" s="1822"/>
      <c r="L716" s="1822"/>
      <c r="M716" s="1822"/>
    </row>
    <row r="717" spans="1:13">
      <c r="A717" s="1821"/>
      <c r="F717" s="683" t="s">
        <v>642</v>
      </c>
      <c r="I717" s="1823">
        <f>'Part V-Utility Allowances'!I8</f>
        <v>42941</v>
      </c>
      <c r="J717" s="1823">
        <f>'Part V-Utility Allowances'!J8</f>
        <v>0</v>
      </c>
      <c r="K717" s="1824" t="s">
        <v>545</v>
      </c>
      <c r="L717" s="1716" t="str">
        <f>'Part V-Utility Allowances'!L8</f>
        <v>3+ 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1865</v>
      </c>
      <c r="H720" s="1821"/>
      <c r="I720" s="1826" t="s">
        <v>573</v>
      </c>
      <c r="J720" s="1826">
        <v>1</v>
      </c>
      <c r="K720" s="1826">
        <v>2</v>
      </c>
      <c r="L720" s="1826">
        <v>3</v>
      </c>
      <c r="M720" s="1826">
        <v>4</v>
      </c>
    </row>
    <row r="721" spans="1:13">
      <c r="B721" s="683" t="s">
        <v>1867</v>
      </c>
      <c r="D721" s="1716" t="str">
        <f>'Part V-Utility Allowances'!D12</f>
        <v>Electric Heat Pump</v>
      </c>
      <c r="E721" s="1716">
        <f>'Part V-Utility Allowances'!E12</f>
        <v>0</v>
      </c>
      <c r="F721" s="1827" t="str">
        <f>'Part V-Utility Allowances'!F12</f>
        <v>X</v>
      </c>
      <c r="G721" s="1827">
        <f>'Part V-Utility Allowances'!G12</f>
        <v>0</v>
      </c>
      <c r="I721" s="1824">
        <f>'Part V-Utility Allowances'!I12</f>
        <v>0</v>
      </c>
      <c r="J721" s="1824">
        <f>'Part V-Utility Allowances'!J12</f>
        <v>12</v>
      </c>
      <c r="K721" s="1824">
        <f>'Part V-Utility Allowances'!K12</f>
        <v>14</v>
      </c>
      <c r="L721" s="1824">
        <f>'Part V-Utility Allowances'!L12</f>
        <v>17</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10</v>
      </c>
      <c r="K722" s="1824">
        <f>'Part V-Utility Allowances'!K13</f>
        <v>12</v>
      </c>
      <c r="L722" s="1824">
        <f>'Part V-Utility Allowances'!L13</f>
        <v>13</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16</v>
      </c>
      <c r="K723" s="1824">
        <f>'Part V-Utility Allowances'!K14</f>
        <v>23</v>
      </c>
      <c r="L723" s="1824">
        <f>'Part V-Utility Allowances'!L14</f>
        <v>36</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18</v>
      </c>
      <c r="K724" s="1824">
        <f>'Part V-Utility Allowances'!K15</f>
        <v>23</v>
      </c>
      <c r="L724" s="1824">
        <f>'Part V-Utility Allowances'!L15</f>
        <v>30</v>
      </c>
      <c r="M724" s="1824">
        <f>'Part V-Utility Allowances'!M15</f>
        <v>0</v>
      </c>
    </row>
    <row r="725" spans="1:13">
      <c r="B725" s="683" t="s">
        <v>3831</v>
      </c>
      <c r="D725" s="683" t="s">
        <v>1608</v>
      </c>
      <c r="F725" s="1827">
        <f>'Part V-Utility Allowances'!F16</f>
        <v>0</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3832</v>
      </c>
      <c r="D726" s="683" t="s">
        <v>1608</v>
      </c>
      <c r="F726" s="1827">
        <f>'Part V-Utility Allowances'!F17</f>
        <v>0</v>
      </c>
      <c r="G726" s="1827">
        <f>'Part V-Utility Allowances'!G17</f>
        <v>0</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3833</v>
      </c>
      <c r="D727" s="683" t="s">
        <v>1608</v>
      </c>
      <c r="F727" s="1827" t="str">
        <f>'Part V-Utility Allowances'!F18</f>
        <v>X</v>
      </c>
      <c r="G727" s="1827">
        <f>'Part V-Utility Allowances'!G18</f>
        <v>0</v>
      </c>
      <c r="I727" s="1824">
        <f>'Part V-Utility Allowances'!I18</f>
        <v>0</v>
      </c>
      <c r="J727" s="1824">
        <f>'Part V-Utility Allowances'!J18</f>
        <v>31</v>
      </c>
      <c r="K727" s="1824">
        <f>'Part V-Utility Allowances'!K18</f>
        <v>34</v>
      </c>
      <c r="L727" s="1824">
        <f>'Part V-Utility Allowances'!L18</f>
        <v>39</v>
      </c>
      <c r="M727" s="1824">
        <f>'Part V-Utility Allowances'!M18</f>
        <v>0</v>
      </c>
    </row>
    <row r="728" spans="1:13">
      <c r="B728" s="683" t="s">
        <v>1382</v>
      </c>
      <c r="D728" s="683" t="s">
        <v>4544</v>
      </c>
      <c r="E728" s="1824" t="str">
        <f>'Part V-Utility Allowances'!E19</f>
        <v>Yes</v>
      </c>
      <c r="F728" s="1827" t="str">
        <f>'Part V-Utility Allowances'!F19</f>
        <v>X</v>
      </c>
      <c r="G728" s="1827">
        <f>'Part V-Utility Allowances'!G19</f>
        <v>0</v>
      </c>
      <c r="I728" s="1824">
        <f>'Part V-Utility Allowances'!I19</f>
        <v>0</v>
      </c>
      <c r="J728" s="1824">
        <f>'Part V-Utility Allowances'!J19</f>
        <v>27</v>
      </c>
      <c r="K728" s="1824">
        <f>'Part V-Utility Allowances'!K19</f>
        <v>36</v>
      </c>
      <c r="L728" s="1824">
        <f>'Part V-Utility Allowances'!L19</f>
        <v>54</v>
      </c>
      <c r="M728" s="1824">
        <f>'Part V-Utility Allowances'!M19</f>
        <v>0</v>
      </c>
    </row>
    <row r="729" spans="1:13">
      <c r="B729" s="683" t="s">
        <v>1866</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114</v>
      </c>
      <c r="K730" s="1826">
        <f>IF(SUM(K721:K729)=0,0,IF(OR($D721="&lt;&lt;Select Fuel &gt;&gt;",$D722="&lt;&lt;Select Fuel &gt;&gt;",$D723="&lt;&lt;Select Fuel &gt;&gt;"),"Select Fuel",IF($E728="&lt;Select&gt;","Submeter?",SUM(K721:K729))))</f>
        <v>142</v>
      </c>
      <c r="L730" s="1826">
        <f>IF(SUM(L721:L729)=0,0,IF(OR($D721="&lt;&lt;Select Fuel &gt;&gt;",$D722="&lt;&lt;Select Fuel &gt;&gt;",$D723="&lt;&lt;Select Fuel &gt;&gt;"),"Select Fuel",IF($E728="&lt;Select&gt;","Submeter?",SUM(L721:L729))))</f>
        <v>189</v>
      </c>
      <c r="M730" s="1826">
        <f>IF(SUM(M721:M729)=0,0,IF(OR($D721="&lt;&lt;Select Fuel &gt;&gt;",$D722="&lt;&lt;Select Fuel &gt;&gt;",$D723="&lt;&lt;Select Fuel &gt;&gt;"),"Select Fuel",IF($E728="&lt;Select&gt;","Submeter?",SUM(M721:M729))))</f>
        <v>0</v>
      </c>
    </row>
    <row r="732" spans="1:13">
      <c r="A732" s="1821" t="s">
        <v>748</v>
      </c>
      <c r="B732" s="1821" t="s">
        <v>2245</v>
      </c>
      <c r="F732" s="683" t="s">
        <v>2537</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1865</v>
      </c>
      <c r="H736" s="1821"/>
      <c r="I736" s="1826" t="s">
        <v>573</v>
      </c>
      <c r="J736" s="1826">
        <v>1</v>
      </c>
      <c r="K736" s="1826">
        <v>2</v>
      </c>
      <c r="L736" s="1826">
        <v>3</v>
      </c>
      <c r="M736" s="1826">
        <v>4</v>
      </c>
    </row>
    <row r="737" spans="1:13">
      <c r="B737" s="683" t="s">
        <v>1867</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3831</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3832</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3833</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4544</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1866</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4545</v>
      </c>
      <c r="F748" s="1824"/>
      <c r="G748" s="1824"/>
      <c r="I748" s="1826"/>
      <c r="J748" s="1826"/>
      <c r="K748" s="1826"/>
      <c r="L748" s="1826"/>
      <c r="M748" s="1826"/>
    </row>
    <row r="749" spans="1:13">
      <c r="A749" s="1821"/>
      <c r="B749" s="1821" t="s">
        <v>577</v>
      </c>
    </row>
    <row r="750" spans="1:13" ht="300">
      <c r="B750" s="1329" t="str">
        <f>'Part V-Utility Allowances'!B41</f>
        <v>Muscogee County administers its own Section 8 Voucher Program, therefore, the utility allowances provided by the Housing Authority of the City of Columbus were used.  These utility allowances were in effect as of 1/1/2018. See TAB 1 for copy of utlity allowance.</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2018-021 Grayling Place,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2018-021 Grayling Place,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2383</v>
      </c>
      <c r="D760" s="1631" t="s">
        <v>3594</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2457</v>
      </c>
      <c r="FD760" s="1829" t="s">
        <v>2458</v>
      </c>
      <c r="FE760" s="1829" t="s">
        <v>2459</v>
      </c>
      <c r="FF760" s="1829" t="s">
        <v>2460</v>
      </c>
      <c r="FG760" s="1829" t="s">
        <v>490</v>
      </c>
      <c r="FH760" s="1829" t="s">
        <v>2457</v>
      </c>
      <c r="FI760" s="1829" t="s">
        <v>2458</v>
      </c>
      <c r="FJ760" s="1829" t="s">
        <v>2459</v>
      </c>
      <c r="FK760" s="1829" t="s">
        <v>2460</v>
      </c>
      <c r="FL760" s="1831"/>
      <c r="FM760" s="1831"/>
      <c r="FN760" s="1831"/>
      <c r="FO760" s="1831"/>
      <c r="FP760" s="1831"/>
      <c r="FQ760" s="1831"/>
      <c r="FR760" s="1831"/>
      <c r="FS760" s="1831"/>
      <c r="FT760" s="1831"/>
      <c r="FU760" s="1831"/>
      <c r="FV760" s="1829" t="s">
        <v>490</v>
      </c>
      <c r="FW760" s="1829" t="s">
        <v>2457</v>
      </c>
      <c r="FX760" s="1829" t="s">
        <v>2458</v>
      </c>
      <c r="FY760" s="1829" t="s">
        <v>2459</v>
      </c>
      <c r="FZ760" s="1829" t="s">
        <v>2460</v>
      </c>
      <c r="GA760" s="1829" t="s">
        <v>490</v>
      </c>
      <c r="GB760" s="1829" t="s">
        <v>2457</v>
      </c>
      <c r="GC760" s="1829" t="s">
        <v>2458</v>
      </c>
      <c r="GD760" s="1829" t="s">
        <v>2459</v>
      </c>
      <c r="GE760" s="1829" t="s">
        <v>2460</v>
      </c>
      <c r="GF760" s="1829" t="s">
        <v>490</v>
      </c>
      <c r="GG760" s="1829" t="s">
        <v>2457</v>
      </c>
      <c r="GH760" s="1829" t="s">
        <v>2458</v>
      </c>
      <c r="GI760" s="1829" t="s">
        <v>2459</v>
      </c>
      <c r="GJ760" s="1829" t="s">
        <v>2460</v>
      </c>
      <c r="GK760" s="1829" t="s">
        <v>490</v>
      </c>
      <c r="GL760" s="1829" t="s">
        <v>2457</v>
      </c>
      <c r="GM760" s="1829" t="s">
        <v>2458</v>
      </c>
      <c r="GN760" s="1829" t="s">
        <v>2459</v>
      </c>
      <c r="GO760" s="1829" t="s">
        <v>2460</v>
      </c>
      <c r="GP760" s="1829" t="s">
        <v>490</v>
      </c>
      <c r="GQ760" s="1829" t="s">
        <v>2457</v>
      </c>
      <c r="GR760" s="1829" t="s">
        <v>2458</v>
      </c>
      <c r="GS760" s="1829" t="s">
        <v>2459</v>
      </c>
      <c r="GT760" s="1829" t="s">
        <v>2460</v>
      </c>
      <c r="GU760" s="1829" t="s">
        <v>490</v>
      </c>
      <c r="GV760" s="1829" t="s">
        <v>2457</v>
      </c>
      <c r="GW760" s="1829" t="s">
        <v>2458</v>
      </c>
      <c r="GX760" s="1829" t="s">
        <v>2459</v>
      </c>
      <c r="GY760" s="1829" t="s">
        <v>2460</v>
      </c>
      <c r="GZ760" s="1829" t="s">
        <v>490</v>
      </c>
      <c r="HA760" s="1829" t="s">
        <v>2457</v>
      </c>
      <c r="HB760" s="1829" t="s">
        <v>2458</v>
      </c>
      <c r="HC760" s="1829" t="s">
        <v>2459</v>
      </c>
      <c r="HD760" s="1829" t="s">
        <v>2460</v>
      </c>
      <c r="HE760" s="1829" t="s">
        <v>490</v>
      </c>
      <c r="HF760" s="1829" t="s">
        <v>2457</v>
      </c>
      <c r="HG760" s="1829" t="s">
        <v>2458</v>
      </c>
      <c r="HH760" s="1829" t="s">
        <v>2459</v>
      </c>
      <c r="HI760" s="1829" t="s">
        <v>2460</v>
      </c>
      <c r="HJ760" s="1829" t="s">
        <v>490</v>
      </c>
      <c r="HK760" s="1829" t="s">
        <v>2457</v>
      </c>
      <c r="HL760" s="1829" t="s">
        <v>2458</v>
      </c>
      <c r="HM760" s="1829" t="s">
        <v>2459</v>
      </c>
      <c r="HN760" s="1829" t="s">
        <v>2460</v>
      </c>
      <c r="HO760" s="1829" t="s">
        <v>490</v>
      </c>
      <c r="HP760" s="1829" t="s">
        <v>2457</v>
      </c>
      <c r="HQ760" s="1829" t="s">
        <v>2458</v>
      </c>
      <c r="HR760" s="1829" t="s">
        <v>2459</v>
      </c>
      <c r="HS760" s="1829" t="s">
        <v>2460</v>
      </c>
      <c r="HT760" s="1829" t="s">
        <v>490</v>
      </c>
      <c r="HU760" s="1829" t="s">
        <v>2457</v>
      </c>
      <c r="HV760" s="1829" t="s">
        <v>2458</v>
      </c>
      <c r="HW760" s="1829" t="s">
        <v>2459</v>
      </c>
      <c r="HX760" s="1829" t="s">
        <v>2460</v>
      </c>
      <c r="HY760" s="1829" t="s">
        <v>490</v>
      </c>
      <c r="HZ760" s="1829" t="s">
        <v>2457</v>
      </c>
      <c r="IA760" s="1829" t="s">
        <v>2458</v>
      </c>
      <c r="IB760" s="1829" t="s">
        <v>2459</v>
      </c>
      <c r="IC760" s="1829" t="s">
        <v>2460</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3446</v>
      </c>
      <c r="JD760" s="1822" t="s">
        <v>3447</v>
      </c>
      <c r="JE760" s="1822" t="s">
        <v>3448</v>
      </c>
      <c r="JF760" s="1822" t="s">
        <v>3449</v>
      </c>
      <c r="JG760" s="1822" t="s">
        <v>3450</v>
      </c>
    </row>
    <row r="761" spans="1:277" s="1629" customFormat="1" ht="3" customHeight="1">
      <c r="B761" s="1818"/>
      <c r="D761" s="1818"/>
      <c r="P761" s="1832" t="s">
        <v>4787</v>
      </c>
      <c r="Q761" s="1833"/>
      <c r="R761" s="1834"/>
      <c r="S761" s="1834"/>
      <c r="T761" s="1834"/>
      <c r="U761" s="1834"/>
      <c r="W761" s="1752" t="s">
        <v>928</v>
      </c>
      <c r="X761" s="1752" t="s">
        <v>764</v>
      </c>
      <c r="Y761" s="1752" t="s">
        <v>765</v>
      </c>
      <c r="Z761" s="1752" t="s">
        <v>766</v>
      </c>
      <c r="AA761" s="1752" t="s">
        <v>767</v>
      </c>
      <c r="AB761" s="1752" t="s">
        <v>929</v>
      </c>
      <c r="AC761" s="1752" t="s">
        <v>2327</v>
      </c>
      <c r="AD761" s="1752" t="s">
        <v>2328</v>
      </c>
      <c r="AE761" s="1752" t="s">
        <v>2329</v>
      </c>
      <c r="AF761" s="1752" t="s">
        <v>2330</v>
      </c>
      <c r="AG761" s="1752" t="s">
        <v>930</v>
      </c>
      <c r="AH761" s="1752" t="s">
        <v>2331</v>
      </c>
      <c r="AI761" s="1752" t="s">
        <v>2332</v>
      </c>
      <c r="AJ761" s="1752" t="s">
        <v>2333</v>
      </c>
      <c r="AK761" s="1752" t="s">
        <v>2334</v>
      </c>
      <c r="AL761" s="1752" t="s">
        <v>130</v>
      </c>
      <c r="AM761" s="1752" t="s">
        <v>2335</v>
      </c>
      <c r="AN761" s="1752" t="s">
        <v>2336</v>
      </c>
      <c r="AO761" s="1752" t="s">
        <v>2337</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2447</v>
      </c>
      <c r="BV761" s="1752" t="s">
        <v>2448</v>
      </c>
      <c r="BW761" s="1752" t="s">
        <v>2449</v>
      </c>
      <c r="BX761" s="1752" t="s">
        <v>2450</v>
      </c>
      <c r="BY761" s="1752" t="s">
        <v>2451</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2446</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2225</v>
      </c>
      <c r="EN761" s="1822" t="s">
        <v>2226</v>
      </c>
      <c r="EO761" s="1822" t="s">
        <v>2227</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2541</v>
      </c>
      <c r="IF761" s="1822" t="s">
        <v>2542</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1861</v>
      </c>
      <c r="E762" s="1818"/>
      <c r="G762" s="1828">
        <f>'Part VI-Revenues &amp; Expenses'!G5</f>
        <v>0</v>
      </c>
      <c r="H762" s="1818"/>
      <c r="I762" s="1836" t="s">
        <v>806</v>
      </c>
      <c r="J762" s="1836" t="s">
        <v>3589</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3441</v>
      </c>
      <c r="JI762" s="1834" t="s">
        <v>3442</v>
      </c>
      <c r="JJ762" s="1834" t="s">
        <v>3443</v>
      </c>
      <c r="JK762" s="1834" t="s">
        <v>3444</v>
      </c>
      <c r="JL762" s="1834" t="s">
        <v>3445</v>
      </c>
      <c r="JM762" s="1822" t="s">
        <v>3455</v>
      </c>
      <c r="JN762" s="1822" t="s">
        <v>3457</v>
      </c>
      <c r="JO762" s="1822" t="s">
        <v>3458</v>
      </c>
      <c r="JP762" s="1822" t="s">
        <v>3459</v>
      </c>
      <c r="JQ762" s="1822" t="s">
        <v>3460</v>
      </c>
    </row>
    <row r="763" spans="1:277" s="1629" customFormat="1" ht="13.15" customHeight="1">
      <c r="A763" s="1835"/>
      <c r="B763" s="1838" t="s">
        <v>1818</v>
      </c>
      <c r="E763" s="1818"/>
      <c r="F763" s="1824">
        <f>'Part VI-Revenues &amp; Expenses'!F6</f>
        <v>0</v>
      </c>
      <c r="G763" s="1836" t="s">
        <v>3691</v>
      </c>
      <c r="H763" s="1832" t="s">
        <v>3922</v>
      </c>
      <c r="I763" s="1836" t="s">
        <v>807</v>
      </c>
      <c r="J763" s="1836" t="s">
        <v>3694</v>
      </c>
      <c r="K763" s="1834"/>
      <c r="L763" s="1834"/>
      <c r="M763" s="1839" t="str">
        <f>'Part I-Project Information'!$O$40</f>
        <v>Columbus</v>
      </c>
      <c r="N763" s="1839"/>
      <c r="O763" s="1840">
        <f>VLOOKUP('Part I-Project Information'!$O$40,'DCA Underwriting Assumptions'!$C$155:$D$265,2)</f>
        <v>53400</v>
      </c>
      <c r="P763" s="1832"/>
      <c r="Q763" s="1833"/>
      <c r="S763" s="1818" t="s">
        <v>2717</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3692</v>
      </c>
      <c r="H764" s="1832"/>
      <c r="I764" s="1792" t="s">
        <v>3880</v>
      </c>
      <c r="J764" s="1836" t="s">
        <v>3695</v>
      </c>
      <c r="K764" s="1834"/>
      <c r="L764" s="1834"/>
      <c r="P764" s="1832"/>
      <c r="Q764" s="1833"/>
      <c r="R764" s="1834"/>
      <c r="S764" s="1841"/>
      <c r="T764" s="1842" t="s">
        <v>2714</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3692</v>
      </c>
      <c r="I765" s="1792"/>
      <c r="J765" s="1836" t="s">
        <v>4788</v>
      </c>
      <c r="K765" s="1844" t="s">
        <v>146</v>
      </c>
      <c r="L765" s="1844"/>
      <c r="M765" s="1836" t="s">
        <v>2384</v>
      </c>
      <c r="N765" s="1836" t="s">
        <v>537</v>
      </c>
      <c r="O765" s="1836" t="s">
        <v>385</v>
      </c>
      <c r="P765" s="1832"/>
      <c r="Q765" s="1844" t="s">
        <v>3599</v>
      </c>
      <c r="R765" s="1844"/>
      <c r="S765" s="1836" t="s">
        <v>2713</v>
      </c>
      <c r="T765" s="1836" t="s">
        <v>2715</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2457</v>
      </c>
      <c r="EY765" s="1824" t="s">
        <v>2458</v>
      </c>
      <c r="EZ765" s="1824" t="s">
        <v>2459</v>
      </c>
      <c r="FA765" s="1824" t="s">
        <v>2460</v>
      </c>
      <c r="FB765" s="1822" t="s">
        <v>2514</v>
      </c>
      <c r="FC765" s="1822" t="s">
        <v>2514</v>
      </c>
      <c r="FD765" s="1822" t="s">
        <v>2514</v>
      </c>
      <c r="FE765" s="1822" t="s">
        <v>2514</v>
      </c>
      <c r="FF765" s="1822" t="s">
        <v>2514</v>
      </c>
      <c r="FG765" s="1822" t="s">
        <v>3389</v>
      </c>
      <c r="FH765" s="1822" t="s">
        <v>3389</v>
      </c>
      <c r="FI765" s="1822" t="s">
        <v>3389</v>
      </c>
      <c r="FJ765" s="1822" t="s">
        <v>3389</v>
      </c>
      <c r="FK765" s="1822" t="s">
        <v>3389</v>
      </c>
      <c r="FL765" s="1824" t="s">
        <v>573</v>
      </c>
      <c r="FM765" s="1824" t="s">
        <v>2457</v>
      </c>
      <c r="FN765" s="1824" t="s">
        <v>2458</v>
      </c>
      <c r="FO765" s="1824" t="s">
        <v>2459</v>
      </c>
      <c r="FP765" s="1824" t="s">
        <v>2460</v>
      </c>
      <c r="FQ765" s="1824" t="s">
        <v>573</v>
      </c>
      <c r="FR765" s="1824" t="s">
        <v>2457</v>
      </c>
      <c r="FS765" s="1824" t="s">
        <v>2458</v>
      </c>
      <c r="FT765" s="1824" t="s">
        <v>2459</v>
      </c>
      <c r="FU765" s="1824" t="s">
        <v>2460</v>
      </c>
      <c r="FV765" s="1822" t="s">
        <v>2516</v>
      </c>
      <c r="FW765" s="1822" t="s">
        <v>2516</v>
      </c>
      <c r="FX765" s="1822" t="s">
        <v>2516</v>
      </c>
      <c r="FY765" s="1822" t="s">
        <v>2516</v>
      </c>
      <c r="FZ765" s="1822" t="s">
        <v>2516</v>
      </c>
      <c r="GA765" s="1822" t="s">
        <v>3385</v>
      </c>
      <c r="GB765" s="1822" t="s">
        <v>3385</v>
      </c>
      <c r="GC765" s="1822" t="s">
        <v>3385</v>
      </c>
      <c r="GD765" s="1822" t="s">
        <v>3385</v>
      </c>
      <c r="GE765" s="1822" t="s">
        <v>3385</v>
      </c>
      <c r="GF765" s="1822" t="s">
        <v>360</v>
      </c>
      <c r="GG765" s="1822" t="s">
        <v>360</v>
      </c>
      <c r="GH765" s="1822" t="s">
        <v>360</v>
      </c>
      <c r="GI765" s="1822" t="s">
        <v>360</v>
      </c>
      <c r="GJ765" s="1822" t="s">
        <v>360</v>
      </c>
      <c r="GK765" s="1822" t="s">
        <v>3384</v>
      </c>
      <c r="GL765" s="1822" t="s">
        <v>3384</v>
      </c>
      <c r="GM765" s="1822" t="s">
        <v>3384</v>
      </c>
      <c r="GN765" s="1822" t="s">
        <v>3384</v>
      </c>
      <c r="GO765" s="1822" t="s">
        <v>3384</v>
      </c>
      <c r="GP765" s="1822" t="s">
        <v>361</v>
      </c>
      <c r="GQ765" s="1822" t="s">
        <v>361</v>
      </c>
      <c r="GR765" s="1822" t="s">
        <v>361</v>
      </c>
      <c r="GS765" s="1822" t="s">
        <v>361</v>
      </c>
      <c r="GT765" s="1822" t="s">
        <v>361</v>
      </c>
      <c r="GU765" s="1822" t="s">
        <v>3383</v>
      </c>
      <c r="GV765" s="1822" t="s">
        <v>3383</v>
      </c>
      <c r="GW765" s="1822" t="s">
        <v>3383</v>
      </c>
      <c r="GX765" s="1822" t="s">
        <v>3383</v>
      </c>
      <c r="GY765" s="1822" t="s">
        <v>3383</v>
      </c>
      <c r="GZ765" s="1822" t="s">
        <v>362</v>
      </c>
      <c r="HA765" s="1822" t="s">
        <v>362</v>
      </c>
      <c r="HB765" s="1822" t="s">
        <v>362</v>
      </c>
      <c r="HC765" s="1822" t="s">
        <v>362</v>
      </c>
      <c r="HD765" s="1822" t="s">
        <v>362</v>
      </c>
      <c r="HE765" s="1822" t="s">
        <v>3386</v>
      </c>
      <c r="HF765" s="1822" t="s">
        <v>3386</v>
      </c>
      <c r="HG765" s="1822" t="s">
        <v>3386</v>
      </c>
      <c r="HH765" s="1822" t="s">
        <v>3386</v>
      </c>
      <c r="HI765" s="1822" t="s">
        <v>3386</v>
      </c>
      <c r="HJ765" s="1822" t="s">
        <v>363</v>
      </c>
      <c r="HK765" s="1822" t="s">
        <v>363</v>
      </c>
      <c r="HL765" s="1822" t="s">
        <v>363</v>
      </c>
      <c r="HM765" s="1822" t="s">
        <v>363</v>
      </c>
      <c r="HN765" s="1822" t="s">
        <v>363</v>
      </c>
      <c r="HO765" s="1822" t="s">
        <v>3387</v>
      </c>
      <c r="HP765" s="1822" t="s">
        <v>3387</v>
      </c>
      <c r="HQ765" s="1822" t="s">
        <v>3387</v>
      </c>
      <c r="HR765" s="1822" t="s">
        <v>3387</v>
      </c>
      <c r="HS765" s="1822" t="s">
        <v>3387</v>
      </c>
      <c r="HT765" s="1822" t="s">
        <v>1473</v>
      </c>
      <c r="HU765" s="1822" t="s">
        <v>1473</v>
      </c>
      <c r="HV765" s="1822" t="s">
        <v>1473</v>
      </c>
      <c r="HW765" s="1822" t="s">
        <v>1473</v>
      </c>
      <c r="HX765" s="1822" t="s">
        <v>1473</v>
      </c>
      <c r="HY765" s="1822" t="s">
        <v>3388</v>
      </c>
      <c r="HZ765" s="1822" t="s">
        <v>3388</v>
      </c>
      <c r="IA765" s="1822" t="s">
        <v>3388</v>
      </c>
      <c r="IB765" s="1822" t="s">
        <v>3388</v>
      </c>
      <c r="IC765" s="1822" t="s">
        <v>3388</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3693</v>
      </c>
      <c r="H766" s="1836" t="s">
        <v>1490</v>
      </c>
      <c r="I766" s="1792"/>
      <c r="J766" s="1845" t="s">
        <v>352</v>
      </c>
      <c r="K766" s="1836" t="s">
        <v>1542</v>
      </c>
      <c r="L766" s="1836" t="s">
        <v>544</v>
      </c>
      <c r="M766" s="1836" t="s">
        <v>1488</v>
      </c>
      <c r="N766" s="1836" t="s">
        <v>3338</v>
      </c>
      <c r="O766" s="1836" t="s">
        <v>386</v>
      </c>
      <c r="P766" s="1832"/>
      <c r="Q766" s="1836" t="s">
        <v>3600</v>
      </c>
      <c r="R766" s="1836" t="s">
        <v>1050</v>
      </c>
      <c r="S766" s="1836" t="s">
        <v>1490</v>
      </c>
      <c r="T766" s="1836" t="s">
        <v>2716</v>
      </c>
      <c r="U766" s="1825" t="s">
        <v>1860</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2513</v>
      </c>
      <c r="EY766" s="1824" t="s">
        <v>2513</v>
      </c>
      <c r="EZ766" s="1824" t="s">
        <v>2513</v>
      </c>
      <c r="FA766" s="1824" t="s">
        <v>2513</v>
      </c>
      <c r="FB766" s="1822"/>
      <c r="FC766" s="1822"/>
      <c r="FD766" s="1822"/>
      <c r="FE766" s="1822"/>
      <c r="FF766" s="1822"/>
      <c r="FG766" s="1822"/>
      <c r="FH766" s="1822"/>
      <c r="FI766" s="1822"/>
      <c r="FJ766" s="1822"/>
      <c r="FK766" s="1822"/>
      <c r="FL766" s="1824" t="s">
        <v>2515</v>
      </c>
      <c r="FM766" s="1824" t="s">
        <v>2515</v>
      </c>
      <c r="FN766" s="1824" t="s">
        <v>2515</v>
      </c>
      <c r="FO766" s="1824" t="s">
        <v>2515</v>
      </c>
      <c r="FP766" s="1824" t="s">
        <v>2515</v>
      </c>
      <c r="FQ766" s="1824" t="s">
        <v>3390</v>
      </c>
      <c r="FR766" s="1824" t="s">
        <v>3390</v>
      </c>
      <c r="FS766" s="1824" t="s">
        <v>3390</v>
      </c>
      <c r="FT766" s="1824" t="s">
        <v>3390</v>
      </c>
      <c r="FU766" s="1824" t="s">
        <v>3390</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4</v>
      </c>
      <c r="F767" s="1849">
        <f>'Part VI-Revenues &amp; Expenses'!F10</f>
        <v>836</v>
      </c>
      <c r="G767" s="1849">
        <f>'Part VI-Revenues &amp; Expenses'!G10</f>
        <v>501</v>
      </c>
      <c r="H767" s="1849">
        <f>'Part VI-Revenues &amp; Expenses'!H10</f>
        <v>501</v>
      </c>
      <c r="I767" s="1849">
        <f>'Part VI-Revenues &amp; Expenses'!I10</f>
        <v>114</v>
      </c>
      <c r="J767" s="1850">
        <f>'Part VI-Revenues &amp; Expenses'!J10</f>
        <v>0</v>
      </c>
      <c r="K767" s="1851">
        <f t="shared" ref="K767:K804" si="2">MAX(0,H767-I767)</f>
        <v>387</v>
      </c>
      <c r="L767" s="1851">
        <f t="shared" ref="L767:L804" si="3">MAX(0,E767*K767)</f>
        <v>1548</v>
      </c>
      <c r="M767" s="1725" t="str">
        <f>'Part VI-Revenues &amp; Expenses'!M10</f>
        <v>No</v>
      </c>
      <c r="N767" s="1725" t="str">
        <f>'Part VI-Revenues &amp; Expenses'!N10</f>
        <v>3+ Story</v>
      </c>
      <c r="O767" s="1725" t="str">
        <f>'Part VI-Revenues &amp; Expenses'!O10</f>
        <v>New Construction</v>
      </c>
      <c r="P767" s="1831" t="str">
        <f>'Part VI-Revenues &amp; Expenses'!P10</f>
        <v>No</v>
      </c>
      <c r="Q767" s="1852">
        <f>'Part VI-Revenues &amp; Expenses'!Q10</f>
        <v>20040</v>
      </c>
      <c r="R767" s="1853">
        <f>'Part VI-Revenues &amp; Expenses'!R10</f>
        <v>0.50037453183520597</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4</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3344</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4</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4</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f t="shared" ref="HU767:HU804" si="210">IF(AND($C767=1, $N767="3+ Story",NOT($P767="Yes")),$E767,"")</f>
        <v>4</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4</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2</v>
      </c>
      <c r="E768" s="1849">
        <f>'Part VI-Revenues &amp; Expenses'!E11</f>
        <v>9</v>
      </c>
      <c r="F768" s="1849">
        <f>'Part VI-Revenues &amp; Expenses'!F11</f>
        <v>1091</v>
      </c>
      <c r="G768" s="1849">
        <f>'Part VI-Revenues &amp; Expenses'!G11</f>
        <v>601</v>
      </c>
      <c r="H768" s="1849">
        <f>'Part VI-Revenues &amp; Expenses'!H11</f>
        <v>601</v>
      </c>
      <c r="I768" s="1849">
        <f>'Part VI-Revenues &amp; Expenses'!I11</f>
        <v>142</v>
      </c>
      <c r="J768" s="1850">
        <f>'Part VI-Revenues &amp; Expenses'!J11</f>
        <v>0</v>
      </c>
      <c r="K768" s="1851">
        <f t="shared" si="2"/>
        <v>459</v>
      </c>
      <c r="L768" s="1851">
        <f t="shared" si="3"/>
        <v>4131</v>
      </c>
      <c r="M768" s="1725" t="str">
        <f>'Part VI-Revenues &amp; Expenses'!M11</f>
        <v>No</v>
      </c>
      <c r="N768" s="1725" t="str">
        <f>'Part VI-Revenues &amp; Expenses'!N11</f>
        <v>3+ Story</v>
      </c>
      <c r="O768" s="1725" t="str">
        <f>'Part VI-Revenues &amp; Expenses'!O11</f>
        <v>New Construction</v>
      </c>
      <c r="P768" s="1831" t="str">
        <f>'Part VI-Revenues &amp; Expenses'!P11</f>
        <v>No</v>
      </c>
      <c r="Q768" s="1852">
        <f>'Part VI-Revenues &amp; Expenses'!Q11</f>
        <v>24040</v>
      </c>
      <c r="R768" s="1853">
        <f>'Part VI-Revenues &amp; Expenses'!R11</f>
        <v>0.50020807324178107</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9819</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f t="shared" si="136"/>
        <v>9</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f t="shared" si="211"/>
        <v>9</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9</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50% AMI</v>
      </c>
      <c r="C769" s="1847">
        <f>'Part VI-Revenues &amp; Expenses'!C12</f>
        <v>3</v>
      </c>
      <c r="D769" s="1848">
        <f>'Part VI-Revenues &amp; Expenses'!D12</f>
        <v>2</v>
      </c>
      <c r="E769" s="1849">
        <f>'Part VI-Revenues &amp; Expenses'!E12</f>
        <v>4</v>
      </c>
      <c r="F769" s="1849">
        <f>'Part VI-Revenues &amp; Expenses'!F12</f>
        <v>1271</v>
      </c>
      <c r="G769" s="1849">
        <f>'Part VI-Revenues &amp; Expenses'!G12</f>
        <v>694</v>
      </c>
      <c r="H769" s="1849">
        <f>'Part VI-Revenues &amp; Expenses'!H12</f>
        <v>694</v>
      </c>
      <c r="I769" s="1849">
        <f>'Part VI-Revenues &amp; Expenses'!I12</f>
        <v>189</v>
      </c>
      <c r="J769" s="1850">
        <f>'Part VI-Revenues &amp; Expenses'!J12</f>
        <v>0</v>
      </c>
      <c r="K769" s="1851">
        <f t="shared" si="2"/>
        <v>505</v>
      </c>
      <c r="L769" s="1851">
        <f t="shared" si="3"/>
        <v>2020</v>
      </c>
      <c r="M769" s="1725" t="str">
        <f>'Part VI-Revenues &amp; Expenses'!M12</f>
        <v>No</v>
      </c>
      <c r="N769" s="1725" t="str">
        <f>'Part VI-Revenues &amp; Expenses'!N12</f>
        <v>3+ Story</v>
      </c>
      <c r="O769" s="1725" t="str">
        <f>'Part VI-Revenues &amp; Expenses'!O12</f>
        <v>New Construction</v>
      </c>
      <c r="P769" s="1831" t="str">
        <f>'Part VI-Revenues &amp; Expenses'!P12</f>
        <v>No</v>
      </c>
      <c r="Q769" s="1852">
        <f>'Part VI-Revenues &amp; Expenses'!Q12</f>
        <v>27760</v>
      </c>
      <c r="R769" s="1853">
        <f>'Part VI-Revenues &amp; Expenses'!R12</f>
        <v>0.49985594929415156</v>
      </c>
      <c r="S769" s="1852">
        <f>'Part VI-Revenues &amp; Expenses'!S12</f>
        <v>0</v>
      </c>
      <c r="T769" s="1853">
        <f>'Part VI-Revenues &amp; Expenses'!T12</f>
        <v>0</v>
      </c>
      <c r="U769" s="1775"/>
      <c r="V769" s="1775"/>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4</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5084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4</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t="str">
        <f t="shared" si="136"/>
        <v/>
      </c>
      <c r="EZ769" s="1854">
        <f t="shared" si="137"/>
        <v>4</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f t="shared" si="212"/>
        <v>4</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0</v>
      </c>
      <c r="JJ769" s="1824">
        <f t="shared" si="251"/>
        <v>0</v>
      </c>
      <c r="JK769" s="1824">
        <f t="shared" si="252"/>
        <v>4</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1</v>
      </c>
      <c r="D770" s="1848">
        <f>'Part VI-Revenues &amp; Expenses'!D13</f>
        <v>1</v>
      </c>
      <c r="E770" s="1849">
        <f>'Part VI-Revenues &amp; Expenses'!E13</f>
        <v>4</v>
      </c>
      <c r="F770" s="1849">
        <f>'Part VI-Revenues &amp; Expenses'!F13</f>
        <v>836</v>
      </c>
      <c r="G770" s="1849">
        <f>'Part VI-Revenues &amp; Expenses'!G13</f>
        <v>601</v>
      </c>
      <c r="H770" s="1849">
        <f>'Part VI-Revenues &amp; Expenses'!H13</f>
        <v>601</v>
      </c>
      <c r="I770" s="1849">
        <f>'Part VI-Revenues &amp; Expenses'!I13</f>
        <v>114</v>
      </c>
      <c r="J770" s="1850">
        <f>'Part VI-Revenues &amp; Expenses'!J13</f>
        <v>0</v>
      </c>
      <c r="K770" s="1851">
        <f t="shared" si="2"/>
        <v>487</v>
      </c>
      <c r="L770" s="1851">
        <f t="shared" si="3"/>
        <v>1948</v>
      </c>
      <c r="M770" s="1725" t="str">
        <f>'Part VI-Revenues &amp; Expenses'!M13</f>
        <v>No</v>
      </c>
      <c r="N770" s="1725" t="str">
        <f>'Part VI-Revenues &amp; Expenses'!N13</f>
        <v>3+ Story</v>
      </c>
      <c r="O770" s="1725" t="str">
        <f>'Part VI-Revenues &amp; Expenses'!O13</f>
        <v>New Construction</v>
      </c>
      <c r="P770" s="1831" t="str">
        <f>'Part VI-Revenues &amp; Expenses'!P13</f>
        <v>No</v>
      </c>
      <c r="Q770" s="1852">
        <f>'Part VI-Revenues &amp; Expenses'!Q13</f>
        <v>24040</v>
      </c>
      <c r="R770" s="1853">
        <f>'Part VI-Revenues &amp; Expenses'!R13</f>
        <v>0.60024968789013733</v>
      </c>
      <c r="S770" s="1852">
        <f>'Part VI-Revenues &amp; Expenses'!S13</f>
        <v>0</v>
      </c>
      <c r="T770" s="1853">
        <f>'Part VI-Revenues &amp; Expenses'!T13</f>
        <v>0</v>
      </c>
      <c r="U770" s="1775"/>
      <c r="V770" s="1775"/>
      <c r="W770" s="683" t="str">
        <f t="shared" si="4"/>
        <v/>
      </c>
      <c r="X770" s="683">
        <f t="shared" si="5"/>
        <v>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3344</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f t="shared" si="135"/>
        <v>4</v>
      </c>
      <c r="EY770" s="1854" t="str">
        <f t="shared" si="136"/>
        <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f t="shared" si="210"/>
        <v>4</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4</v>
      </c>
      <c r="JJ770" s="1824">
        <f t="shared" si="251"/>
        <v>0</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60% AMI</v>
      </c>
      <c r="C771" s="1847">
        <f>'Part VI-Revenues &amp; Expenses'!C14</f>
        <v>2</v>
      </c>
      <c r="D771" s="1848">
        <f>'Part VI-Revenues &amp; Expenses'!D14</f>
        <v>2</v>
      </c>
      <c r="E771" s="1849">
        <f>'Part VI-Revenues &amp; Expenses'!E14</f>
        <v>36</v>
      </c>
      <c r="F771" s="1849">
        <f>'Part VI-Revenues &amp; Expenses'!F14</f>
        <v>1091</v>
      </c>
      <c r="G771" s="1849">
        <f>'Part VI-Revenues &amp; Expenses'!G14</f>
        <v>721</v>
      </c>
      <c r="H771" s="1849">
        <f>'Part VI-Revenues &amp; Expenses'!H14</f>
        <v>721</v>
      </c>
      <c r="I771" s="1849">
        <f>'Part VI-Revenues &amp; Expenses'!I14</f>
        <v>142</v>
      </c>
      <c r="J771" s="1850">
        <f>'Part VI-Revenues &amp; Expenses'!J14</f>
        <v>0</v>
      </c>
      <c r="K771" s="1851">
        <f t="shared" si="2"/>
        <v>579</v>
      </c>
      <c r="L771" s="1851">
        <f t="shared" si="3"/>
        <v>20844</v>
      </c>
      <c r="M771" s="1725" t="str">
        <f>'Part VI-Revenues &amp; Expenses'!M14</f>
        <v>No</v>
      </c>
      <c r="N771" s="1725" t="str">
        <f>'Part VI-Revenues &amp; Expenses'!N14</f>
        <v>3+ Story</v>
      </c>
      <c r="O771" s="1725" t="str">
        <f>'Part VI-Revenues &amp; Expenses'!O14</f>
        <v>New Construction</v>
      </c>
      <c r="P771" s="1831" t="str">
        <f>'Part VI-Revenues &amp; Expenses'!P14</f>
        <v>No</v>
      </c>
      <c r="Q771" s="1852">
        <f>'Part VI-Revenues &amp; Expenses'!Q14</f>
        <v>28840</v>
      </c>
      <c r="R771" s="1853">
        <f>'Part VI-Revenues &amp; Expenses'!R14</f>
        <v>0.60008322929671243</v>
      </c>
      <c r="S771" s="1852">
        <f>'Part VI-Revenues &amp; Expenses'!S14</f>
        <v>0</v>
      </c>
      <c r="T771" s="1853">
        <f>'Part VI-Revenues &amp; Expenses'!T14</f>
        <v>0</v>
      </c>
      <c r="U771" s="1775"/>
      <c r="V771" s="1775"/>
      <c r="W771" s="683" t="str">
        <f t="shared" si="4"/>
        <v/>
      </c>
      <c r="X771" s="683" t="str">
        <f t="shared" si="5"/>
        <v/>
      </c>
      <c r="Y771" s="683">
        <f t="shared" si="6"/>
        <v>36</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39276</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36</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f t="shared" si="136"/>
        <v>36</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f t="shared" si="211"/>
        <v>36</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36</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60% AMI</v>
      </c>
      <c r="C772" s="1847">
        <f>'Part VI-Revenues &amp; Expenses'!C15</f>
        <v>3</v>
      </c>
      <c r="D772" s="1848">
        <f>'Part VI-Revenues &amp; Expenses'!D15</f>
        <v>2</v>
      </c>
      <c r="E772" s="1849">
        <f>'Part VI-Revenues &amp; Expenses'!E15</f>
        <v>10</v>
      </c>
      <c r="F772" s="1849">
        <f>'Part VI-Revenues &amp; Expenses'!F15</f>
        <v>1271</v>
      </c>
      <c r="G772" s="1849">
        <f>'Part VI-Revenues &amp; Expenses'!G15</f>
        <v>833</v>
      </c>
      <c r="H772" s="1849">
        <f>'Part VI-Revenues &amp; Expenses'!H15</f>
        <v>833</v>
      </c>
      <c r="I772" s="1849">
        <f>'Part VI-Revenues &amp; Expenses'!I15</f>
        <v>189</v>
      </c>
      <c r="J772" s="1850">
        <f>'Part VI-Revenues &amp; Expenses'!J15</f>
        <v>0</v>
      </c>
      <c r="K772" s="1851">
        <f t="shared" si="2"/>
        <v>644</v>
      </c>
      <c r="L772" s="1851">
        <f t="shared" si="3"/>
        <v>6440</v>
      </c>
      <c r="M772" s="1725" t="str">
        <f>'Part VI-Revenues &amp; Expenses'!M15</f>
        <v>No</v>
      </c>
      <c r="N772" s="1725" t="str">
        <f>'Part VI-Revenues &amp; Expenses'!N15</f>
        <v>3+ Story</v>
      </c>
      <c r="O772" s="1725" t="str">
        <f>'Part VI-Revenues &amp; Expenses'!O15</f>
        <v>New Construction</v>
      </c>
      <c r="P772" s="1831" t="str">
        <f>'Part VI-Revenues &amp; Expenses'!P15</f>
        <v>No</v>
      </c>
      <c r="Q772" s="1852">
        <f>'Part VI-Revenues &amp; Expenses'!Q15</f>
        <v>33320</v>
      </c>
      <c r="R772" s="1853">
        <f>'Part VI-Revenues &amp; Expenses'!R15</f>
        <v>0.59997118985883036</v>
      </c>
      <c r="S772" s="1852">
        <f>'Part VI-Revenues &amp; Expenses'!S15</f>
        <v>0</v>
      </c>
      <c r="T772" s="1853">
        <f>'Part VI-Revenues &amp; Expenses'!T15</f>
        <v>0</v>
      </c>
      <c r="U772" s="1775"/>
      <c r="V772" s="1775"/>
      <c r="W772" s="683" t="str">
        <f t="shared" si="4"/>
        <v/>
      </c>
      <c r="X772" s="683" t="str">
        <f t="shared" si="5"/>
        <v/>
      </c>
      <c r="Y772" s="683" t="str">
        <f t="shared" si="6"/>
        <v/>
      </c>
      <c r="Z772" s="683">
        <f t="shared" si="7"/>
        <v>10</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12710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10</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f t="shared" si="137"/>
        <v>10</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f t="shared" si="212"/>
        <v>10</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0</v>
      </c>
      <c r="JK772" s="1824">
        <f t="shared" si="252"/>
        <v>10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Unrestricted</v>
      </c>
      <c r="C773" s="1847">
        <f>'Part VI-Revenues &amp; Expenses'!C16</f>
        <v>1</v>
      </c>
      <c r="D773" s="1848">
        <f>'Part VI-Revenues &amp; Expenses'!D16</f>
        <v>1</v>
      </c>
      <c r="E773" s="1849">
        <f>'Part VI-Revenues &amp; Expenses'!E16</f>
        <v>2</v>
      </c>
      <c r="F773" s="1849">
        <f>'Part VI-Revenues &amp; Expenses'!F16</f>
        <v>836</v>
      </c>
      <c r="G773" s="1849">
        <f>'Part VI-Revenues &amp; Expenses'!G16</f>
        <v>854</v>
      </c>
      <c r="H773" s="1849">
        <f>'Part VI-Revenues &amp; Expenses'!H16</f>
        <v>854</v>
      </c>
      <c r="I773" s="1849">
        <f>'Part VI-Revenues &amp; Expenses'!I16</f>
        <v>0</v>
      </c>
      <c r="J773" s="1850">
        <f>'Part VI-Revenues &amp; Expenses'!J16</f>
        <v>0</v>
      </c>
      <c r="K773" s="1851">
        <f t="shared" si="2"/>
        <v>854</v>
      </c>
      <c r="L773" s="1851">
        <f t="shared" si="3"/>
        <v>1708</v>
      </c>
      <c r="M773" s="1725" t="str">
        <f>'Part VI-Revenues &amp; Expenses'!M16</f>
        <v>No</v>
      </c>
      <c r="N773" s="1725" t="str">
        <f>'Part VI-Revenues &amp; Expenses'!N16</f>
        <v>3+ Story</v>
      </c>
      <c r="O773" s="1725" t="str">
        <f>'Part VI-Revenues &amp; Expenses'!O16</f>
        <v>New Construction</v>
      </c>
      <c r="P773" s="1831" t="str">
        <f>'Part VI-Revenues &amp; Expenses'!P16</f>
        <v>No</v>
      </c>
      <c r="Q773" s="1852">
        <f>'Part VI-Revenues &amp; Expenses'!Q16</f>
        <v>34160</v>
      </c>
      <c r="R773" s="1853">
        <f>'Part VI-Revenues &amp; Expenses'!R16</f>
        <v>0.8529338327091136</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f t="shared" si="20"/>
        <v>2</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f t="shared" si="75"/>
        <v>1672</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f t="shared" si="95"/>
        <v>2</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f t="shared" si="135"/>
        <v>2</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f t="shared" si="210"/>
        <v>2</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2</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Unrestricted</v>
      </c>
      <c r="C774" s="1847">
        <f>'Part VI-Revenues &amp; Expenses'!C17</f>
        <v>2</v>
      </c>
      <c r="D774" s="1848">
        <f>'Part VI-Revenues &amp; Expenses'!D17</f>
        <v>2</v>
      </c>
      <c r="E774" s="1849">
        <f>'Part VI-Revenues &amp; Expenses'!E17</f>
        <v>11</v>
      </c>
      <c r="F774" s="1849">
        <f>'Part VI-Revenues &amp; Expenses'!F17</f>
        <v>1091</v>
      </c>
      <c r="G774" s="1849">
        <f>'Part VI-Revenues &amp; Expenses'!G17</f>
        <v>961</v>
      </c>
      <c r="H774" s="1849">
        <f>'Part VI-Revenues &amp; Expenses'!H17</f>
        <v>961</v>
      </c>
      <c r="I774" s="1849">
        <f>'Part VI-Revenues &amp; Expenses'!I17</f>
        <v>0</v>
      </c>
      <c r="J774" s="1850">
        <f>'Part VI-Revenues &amp; Expenses'!J17</f>
        <v>0</v>
      </c>
      <c r="K774" s="1851">
        <f t="shared" si="2"/>
        <v>961</v>
      </c>
      <c r="L774" s="1851">
        <f t="shared" si="3"/>
        <v>10571</v>
      </c>
      <c r="M774" s="1725" t="str">
        <f>'Part VI-Revenues &amp; Expenses'!M17</f>
        <v>No</v>
      </c>
      <c r="N774" s="1725" t="str">
        <f>'Part VI-Revenues &amp; Expenses'!N17</f>
        <v>3+ Story</v>
      </c>
      <c r="O774" s="1725" t="str">
        <f>'Part VI-Revenues &amp; Expenses'!O17</f>
        <v>New Construction</v>
      </c>
      <c r="P774" s="1831" t="str">
        <f>'Part VI-Revenues &amp; Expenses'!P17</f>
        <v>No</v>
      </c>
      <c r="Q774" s="1852">
        <f>'Part VI-Revenues &amp; Expenses'!Q17</f>
        <v>38440</v>
      </c>
      <c r="R774" s="1853">
        <f>'Part VI-Revenues &amp; Expenses'!R17</f>
        <v>0.79983354140657514</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11</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12001</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11</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f t="shared" si="136"/>
        <v>11</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f t="shared" si="211"/>
        <v>11</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11</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Unrestricted</v>
      </c>
      <c r="C775" s="1847">
        <f>'Part VI-Revenues &amp; Expenses'!C18</f>
        <v>3</v>
      </c>
      <c r="D775" s="1848">
        <f>'Part VI-Revenues &amp; Expenses'!D18</f>
        <v>2</v>
      </c>
      <c r="E775" s="1849">
        <f>'Part VI-Revenues &amp; Expenses'!E18</f>
        <v>4</v>
      </c>
      <c r="F775" s="1849">
        <f>'Part VI-Revenues &amp; Expenses'!F18</f>
        <v>1271</v>
      </c>
      <c r="G775" s="1849">
        <f>'Part VI-Revenues &amp; Expenses'!G18</f>
        <v>1067</v>
      </c>
      <c r="H775" s="1849">
        <f>'Part VI-Revenues &amp; Expenses'!H18</f>
        <v>1067</v>
      </c>
      <c r="I775" s="1849">
        <f>'Part VI-Revenues &amp; Expenses'!I18</f>
        <v>0</v>
      </c>
      <c r="J775" s="1850">
        <f>'Part VI-Revenues &amp; Expenses'!J18</f>
        <v>0</v>
      </c>
      <c r="K775" s="1851">
        <f t="shared" si="2"/>
        <v>1067</v>
      </c>
      <c r="L775" s="1851">
        <f t="shared" si="3"/>
        <v>4268</v>
      </c>
      <c r="M775" s="1725" t="str">
        <f>'Part VI-Revenues &amp; Expenses'!M18</f>
        <v>No</v>
      </c>
      <c r="N775" s="1725" t="str">
        <f>'Part VI-Revenues &amp; Expenses'!N18</f>
        <v>3+ Story</v>
      </c>
      <c r="O775" s="1725" t="str">
        <f>'Part VI-Revenues &amp; Expenses'!O18</f>
        <v>New Construction</v>
      </c>
      <c r="P775" s="1831" t="str">
        <f>'Part VI-Revenues &amp; Expenses'!P18</f>
        <v>No</v>
      </c>
      <c r="Q775" s="1852">
        <f>'Part VI-Revenues &amp; Expenses'!Q18</f>
        <v>42680</v>
      </c>
      <c r="R775" s="1853">
        <f>'Part VI-Revenues &amp; Expenses'!R18</f>
        <v>0.76851051570152695</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f t="shared" si="22"/>
        <v>4</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f t="shared" si="77"/>
        <v>5084</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f t="shared" si="97"/>
        <v>4</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f t="shared" si="137"/>
        <v>4</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f t="shared" si="212"/>
        <v>4</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4</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84</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92334</v>
      </c>
      <c r="G805" s="479"/>
      <c r="H805" s="479"/>
      <c r="I805" s="479"/>
      <c r="J805" s="479"/>
      <c r="K805" s="1858" t="s">
        <v>1314</v>
      </c>
      <c r="L805" s="1856">
        <f>SUM(L767:L804)</f>
        <v>53478</v>
      </c>
      <c r="M805" s="1629"/>
      <c r="N805" s="1629"/>
      <c r="O805" s="1629"/>
      <c r="P805" s="1629"/>
      <c r="Q805" s="1629"/>
      <c r="R805" s="1629"/>
      <c r="S805" s="1629"/>
      <c r="T805" s="1629"/>
      <c r="U805" s="1836"/>
      <c r="V805" s="1859"/>
      <c r="W805" s="1859">
        <f t="shared" ref="W805:CH805" si="259">SUM(W767:W804)</f>
        <v>0</v>
      </c>
      <c r="X805" s="1859">
        <f t="shared" si="259"/>
        <v>4</v>
      </c>
      <c r="Y805" s="1859">
        <f t="shared" si="259"/>
        <v>36</v>
      </c>
      <c r="Z805" s="1859">
        <f t="shared" si="259"/>
        <v>10</v>
      </c>
      <c r="AA805" s="1859">
        <f t="shared" si="259"/>
        <v>0</v>
      </c>
      <c r="AB805" s="1859">
        <f t="shared" si="259"/>
        <v>0</v>
      </c>
      <c r="AC805" s="1859">
        <f t="shared" si="259"/>
        <v>4</v>
      </c>
      <c r="AD805" s="1859">
        <f t="shared" si="259"/>
        <v>9</v>
      </c>
      <c r="AE805" s="1859">
        <f t="shared" si="259"/>
        <v>4</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2</v>
      </c>
      <c r="AN805" s="1859">
        <f t="shared" si="259"/>
        <v>11</v>
      </c>
      <c r="AO805" s="1859">
        <f t="shared" si="259"/>
        <v>4</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3344</v>
      </c>
      <c r="CB805" s="1859">
        <f t="shared" si="259"/>
        <v>39276</v>
      </c>
      <c r="CC805" s="1859">
        <f t="shared" si="259"/>
        <v>12710</v>
      </c>
      <c r="CD805" s="1859">
        <f t="shared" si="259"/>
        <v>0</v>
      </c>
      <c r="CE805" s="1859">
        <f t="shared" si="259"/>
        <v>0</v>
      </c>
      <c r="CF805" s="1859">
        <f t="shared" si="259"/>
        <v>3344</v>
      </c>
      <c r="CG805" s="1859">
        <f t="shared" si="259"/>
        <v>9819</v>
      </c>
      <c r="CH805" s="1859">
        <f t="shared" si="259"/>
        <v>5084</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1672</v>
      </c>
      <c r="CQ805" s="1859">
        <f t="shared" si="260"/>
        <v>12001</v>
      </c>
      <c r="CR805" s="1859">
        <f t="shared" si="260"/>
        <v>5084</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8</v>
      </c>
      <c r="DF805" s="1859">
        <f t="shared" si="260"/>
        <v>45</v>
      </c>
      <c r="DG805" s="1859">
        <f t="shared" si="260"/>
        <v>14</v>
      </c>
      <c r="DH805" s="1859">
        <f t="shared" si="260"/>
        <v>0</v>
      </c>
      <c r="DI805" s="1859">
        <f t="shared" si="260"/>
        <v>0</v>
      </c>
      <c r="DJ805" s="1859">
        <f t="shared" si="260"/>
        <v>2</v>
      </c>
      <c r="DK805" s="1859">
        <f t="shared" si="260"/>
        <v>11</v>
      </c>
      <c r="DL805" s="1859">
        <f t="shared" si="260"/>
        <v>4</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10</v>
      </c>
      <c r="EY805" s="1859">
        <f t="shared" si="261"/>
        <v>56</v>
      </c>
      <c r="EZ805" s="1859">
        <f t="shared" si="261"/>
        <v>18</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10</v>
      </c>
      <c r="HV805" s="1859">
        <f t="shared" si="262"/>
        <v>56</v>
      </c>
      <c r="HW805" s="1859">
        <f t="shared" si="262"/>
        <v>18</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10</v>
      </c>
      <c r="JJ805" s="1859">
        <f t="shared" si="262"/>
        <v>56</v>
      </c>
      <c r="JK805" s="1859">
        <f t="shared" si="262"/>
        <v>18</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641736</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4789</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1860</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4</v>
      </c>
      <c r="L813" s="1865">
        <f>Y805</f>
        <v>36</v>
      </c>
      <c r="M813" s="1865">
        <f>Z805</f>
        <v>10</v>
      </c>
      <c r="N813" s="1865">
        <f>AA805</f>
        <v>0</v>
      </c>
      <c r="O813" s="1865">
        <f t="shared" ref="O813:O819" si="263">SUM(J813:N813)</f>
        <v>50</v>
      </c>
      <c r="P813" s="1792" t="s">
        <v>3696</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4</v>
      </c>
      <c r="L814" s="1865">
        <f>AD805</f>
        <v>9</v>
      </c>
      <c r="M814" s="1865">
        <f>AE805</f>
        <v>4</v>
      </c>
      <c r="N814" s="1865">
        <f>AF805</f>
        <v>0</v>
      </c>
      <c r="O814" s="1865">
        <f t="shared" si="263"/>
        <v>17</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8</v>
      </c>
      <c r="L815" s="1865">
        <f>SUM(L813:L814)</f>
        <v>45</v>
      </c>
      <c r="M815" s="1865">
        <f>SUM(M813:M814)</f>
        <v>14</v>
      </c>
      <c r="N815" s="1865">
        <f>SUM(N813:N814)</f>
        <v>0</v>
      </c>
      <c r="O815" s="1865">
        <f t="shared" si="263"/>
        <v>67</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2</v>
      </c>
      <c r="L816" s="1865">
        <f>AN805</f>
        <v>11</v>
      </c>
      <c r="M816" s="1865">
        <f>AO805</f>
        <v>4</v>
      </c>
      <c r="N816" s="1865">
        <f>AP805</f>
        <v>0</v>
      </c>
      <c r="O816" s="1865">
        <f t="shared" si="263"/>
        <v>17</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10</v>
      </c>
      <c r="L817" s="1865">
        <f>SUM(L815:L816)</f>
        <v>56</v>
      </c>
      <c r="M817" s="1865">
        <f>SUM(M815:M816)</f>
        <v>18</v>
      </c>
      <c r="N817" s="1865">
        <f>SUM(N815:N816)</f>
        <v>0</v>
      </c>
      <c r="O817" s="1865">
        <f t="shared" si="263"/>
        <v>84</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2529</v>
      </c>
      <c r="D818" s="1629"/>
      <c r="E818" s="1629"/>
      <c r="F818" s="1629"/>
      <c r="H818" s="478"/>
      <c r="J818" s="1865">
        <f>BU805</f>
        <v>0</v>
      </c>
      <c r="K818" s="1865">
        <f>BV805</f>
        <v>0</v>
      </c>
      <c r="L818" s="1865">
        <f>BW805</f>
        <v>0</v>
      </c>
      <c r="M818" s="1865">
        <f>BX805</f>
        <v>0</v>
      </c>
      <c r="N818" s="1865">
        <f>BY805</f>
        <v>0</v>
      </c>
      <c r="O818" s="1865">
        <f t="shared" si="263"/>
        <v>0</v>
      </c>
      <c r="P818" s="1631" t="s">
        <v>3697</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10</v>
      </c>
      <c r="L819" s="1865">
        <f>SUM(L817:L818)</f>
        <v>56</v>
      </c>
      <c r="M819" s="1865">
        <f>SUM(M817:M818)</f>
        <v>18</v>
      </c>
      <c r="N819" s="1865">
        <f>SUM(N817:N818)</f>
        <v>0</v>
      </c>
      <c r="O819" s="1865">
        <f t="shared" si="263"/>
        <v>84</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2530</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2530</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2312</v>
      </c>
      <c r="F829" s="1629"/>
      <c r="H829" s="478" t="s">
        <v>1444</v>
      </c>
      <c r="J829" s="1865">
        <f>DD805</f>
        <v>0</v>
      </c>
      <c r="K829" s="1865">
        <f>DE805</f>
        <v>8</v>
      </c>
      <c r="L829" s="1865">
        <f>DF805</f>
        <v>45</v>
      </c>
      <c r="M829" s="1865">
        <f>DG805</f>
        <v>14</v>
      </c>
      <c r="N829" s="1865">
        <f>DH805</f>
        <v>0</v>
      </c>
      <c r="O829" s="1865">
        <f t="shared" ref="O829:O839" si="264">SUM(J829:N829)</f>
        <v>67</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2</v>
      </c>
      <c r="L830" s="1865">
        <f>DK805</f>
        <v>11</v>
      </c>
      <c r="M830" s="1865">
        <f>DL805</f>
        <v>4</v>
      </c>
      <c r="N830" s="1865">
        <f>DM805</f>
        <v>0</v>
      </c>
      <c r="O830" s="1865">
        <f t="shared" si="264"/>
        <v>17</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10</v>
      </c>
      <c r="L831" s="1865">
        <f>SUM(L829:L830)+DP805</f>
        <v>56</v>
      </c>
      <c r="M831" s="1865">
        <f>SUM(M829:M830)+DQ805</f>
        <v>18</v>
      </c>
      <c r="N831" s="1865">
        <f>SUM(N829:N830)+DR805</f>
        <v>0</v>
      </c>
      <c r="O831" s="1865">
        <f t="shared" si="264"/>
        <v>84</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2154</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4546</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3380</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4790</v>
      </c>
      <c r="D843" s="1775"/>
      <c r="E843" s="1830" t="s">
        <v>40</v>
      </c>
      <c r="F843" s="1629"/>
      <c r="G843" s="1631"/>
      <c r="J843" s="1865">
        <f t="shared" ref="J843:O843" si="265">SUM(J844:J851)</f>
        <v>0</v>
      </c>
      <c r="K843" s="1865">
        <f t="shared" si="265"/>
        <v>10</v>
      </c>
      <c r="L843" s="1865">
        <f t="shared" si="265"/>
        <v>56</v>
      </c>
      <c r="M843" s="1865">
        <f t="shared" si="265"/>
        <v>18</v>
      </c>
      <c r="N843" s="1865">
        <f t="shared" si="265"/>
        <v>0</v>
      </c>
      <c r="O843" s="1865">
        <f t="shared" si="265"/>
        <v>84</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2622</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3380</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2623</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3380</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2625</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3380</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2624</v>
      </c>
      <c r="J850" s="1865">
        <f>HT805</f>
        <v>0</v>
      </c>
      <c r="K850" s="1865">
        <f>HU805</f>
        <v>10</v>
      </c>
      <c r="L850" s="1865">
        <f>HV805</f>
        <v>56</v>
      </c>
      <c r="M850" s="1865">
        <f>HW805</f>
        <v>18</v>
      </c>
      <c r="N850" s="1865">
        <f>HX805</f>
        <v>0</v>
      </c>
      <c r="O850" s="1865">
        <f t="shared" si="266"/>
        <v>84</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3380</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3380</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3380</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3380</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3380</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4791</v>
      </c>
      <c r="D861" s="1775"/>
      <c r="E861" s="1830" t="s">
        <v>3375</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3380</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3376</v>
      </c>
      <c r="F863" s="1631"/>
      <c r="H863" s="1631"/>
      <c r="J863" s="1865">
        <f>J844+J854</f>
        <v>0</v>
      </c>
      <c r="K863" s="1865">
        <f t="shared" ref="K863:N864" si="269">K844+K854</f>
        <v>0</v>
      </c>
      <c r="L863" s="1865">
        <f t="shared" si="269"/>
        <v>0</v>
      </c>
      <c r="M863" s="1865">
        <f t="shared" si="269"/>
        <v>0</v>
      </c>
      <c r="N863" s="1865">
        <f t="shared" si="269"/>
        <v>0</v>
      </c>
      <c r="O863" s="1865">
        <f t="shared" si="268"/>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3380</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3377</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3380</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3378</v>
      </c>
      <c r="F867" s="1631"/>
      <c r="H867" s="1872"/>
      <c r="J867" s="1865">
        <f>J846+J850</f>
        <v>0</v>
      </c>
      <c r="K867" s="1865">
        <f t="shared" ref="K867:N868" si="271">K846+K850</f>
        <v>10</v>
      </c>
      <c r="L867" s="1865">
        <f t="shared" si="271"/>
        <v>56</v>
      </c>
      <c r="M867" s="1865">
        <f t="shared" si="271"/>
        <v>18</v>
      </c>
      <c r="N867" s="1865">
        <f t="shared" si="271"/>
        <v>0</v>
      </c>
      <c r="O867" s="1865">
        <f t="shared" si="268"/>
        <v>84</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3380</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2182</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2153</v>
      </c>
      <c r="D870" s="1629"/>
      <c r="E870" s="1629"/>
      <c r="F870" s="1629"/>
      <c r="H870" s="1872" t="s">
        <v>1159</v>
      </c>
      <c r="J870" s="1878">
        <f>BZ805</f>
        <v>0</v>
      </c>
      <c r="K870" s="1878">
        <f>CA805</f>
        <v>3344</v>
      </c>
      <c r="L870" s="1878">
        <f>CB805</f>
        <v>39276</v>
      </c>
      <c r="M870" s="1878">
        <f>CC805</f>
        <v>12710</v>
      </c>
      <c r="N870" s="1878">
        <f>CD805</f>
        <v>0</v>
      </c>
      <c r="O870" s="1878">
        <f t="shared" ref="O870:O876" si="272">SUM(J870:N870)</f>
        <v>55330</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3344</v>
      </c>
      <c r="L871" s="1878">
        <f>CG805</f>
        <v>9819</v>
      </c>
      <c r="M871" s="1878">
        <f>CH805</f>
        <v>5084</v>
      </c>
      <c r="N871" s="1878">
        <f>CI805</f>
        <v>0</v>
      </c>
      <c r="O871" s="1878">
        <f t="shared" si="272"/>
        <v>18247</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6688</v>
      </c>
      <c r="L872" s="1878">
        <f>SUM(L870:L871)</f>
        <v>49095</v>
      </c>
      <c r="M872" s="1878">
        <f>SUM(M870:M871)</f>
        <v>17794</v>
      </c>
      <c r="N872" s="1878">
        <f>SUM(N870:N871)</f>
        <v>0</v>
      </c>
      <c r="O872" s="1878">
        <f t="shared" si="272"/>
        <v>73577</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1672</v>
      </c>
      <c r="L873" s="1878">
        <f>CQ805</f>
        <v>12001</v>
      </c>
      <c r="M873" s="1878">
        <f>CR805</f>
        <v>5084</v>
      </c>
      <c r="N873" s="1878">
        <f>CS805</f>
        <v>0</v>
      </c>
      <c r="O873" s="1878">
        <f t="shared" si="272"/>
        <v>18757</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8360</v>
      </c>
      <c r="L874" s="1878">
        <f>SUM(L872:L873)</f>
        <v>61096</v>
      </c>
      <c r="M874" s="1878">
        <f>SUM(M872:M873)</f>
        <v>22878</v>
      </c>
      <c r="N874" s="1878">
        <f>SUM(N872:N873)</f>
        <v>0</v>
      </c>
      <c r="O874" s="1878">
        <f t="shared" si="272"/>
        <v>92334</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2529</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8360</v>
      </c>
      <c r="L876" s="1878">
        <f>SUM(L874:L875)</f>
        <v>61096</v>
      </c>
      <c r="M876" s="1878">
        <f>SUM(M874:M875)</f>
        <v>22878</v>
      </c>
      <c r="N876" s="1878">
        <f>SUM(N874:N875)</f>
        <v>0</v>
      </c>
      <c r="O876" s="1878">
        <f t="shared" si="272"/>
        <v>92334</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4792</v>
      </c>
      <c r="R877" s="1821" t="s">
        <v>1860</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12000</v>
      </c>
      <c r="I879" s="1880">
        <f>'Part VI-Revenues &amp; Expenses'!I122</f>
        <v>0</v>
      </c>
      <c r="J879" s="1330"/>
      <c r="K879" s="1881" t="s">
        <v>4793</v>
      </c>
      <c r="L879" s="1330"/>
      <c r="M879" s="1330"/>
      <c r="N879" s="1330"/>
      <c r="O879" s="1882">
        <f>H879/L806</f>
        <v>1.8699278207861176E-2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2303</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4794</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4795</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2303</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2640</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4794</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4795</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2303</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2641</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4794</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4795</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2303</v>
      </c>
      <c r="C909" s="1330"/>
      <c r="D909" s="1330"/>
      <c r="E909" s="1330"/>
      <c r="F909" s="1330"/>
      <c r="G909" s="1886">
        <v>31</v>
      </c>
      <c r="H909" s="1886">
        <v>32</v>
      </c>
      <c r="I909" s="1886">
        <v>33</v>
      </c>
      <c r="J909" s="1886">
        <v>34</v>
      </c>
      <c r="K909" s="1886">
        <v>35</v>
      </c>
      <c r="L909" s="1330"/>
      <c r="M909" s="1330"/>
      <c r="N909" s="1330"/>
      <c r="O909" s="1330"/>
      <c r="P909" s="1330"/>
      <c r="R909" s="1855" t="s">
        <v>2641</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4794</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4795</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1860</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2213</v>
      </c>
      <c r="F921" s="1878">
        <f>'Part VI-Revenues &amp; Expenses'!F164</f>
        <v>48000</v>
      </c>
      <c r="G921" s="1878">
        <f>'Part VI-Revenues &amp; Expenses'!G164</f>
        <v>0</v>
      </c>
      <c r="I921" s="1629" t="s">
        <v>1390</v>
      </c>
      <c r="K921" s="1878">
        <f>'Part VI-Revenues &amp; Expenses'!K164</f>
        <v>0</v>
      </c>
      <c r="L921" s="1878">
        <f>'Part VI-Revenues &amp; Expenses'!L164</f>
        <v>0</v>
      </c>
      <c r="N921" s="1629" t="s">
        <v>938</v>
      </c>
      <c r="P921" s="1889">
        <f>'Part VI-Revenues &amp; Expenses'!P164</f>
        <v>39961</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37000</v>
      </c>
      <c r="G922" s="1878">
        <f>'Part VI-Revenues &amp; Expenses'!G165</f>
        <v>0</v>
      </c>
      <c r="I922" s="1629" t="s">
        <v>1391</v>
      </c>
      <c r="K922" s="1878">
        <f>'Part VI-Revenues &amp; Expenses'!K165</f>
        <v>0</v>
      </c>
      <c r="L922" s="1878">
        <f>'Part VI-Revenues &amp; Expenses'!L165</f>
        <v>0</v>
      </c>
      <c r="N922" s="1629" t="s">
        <v>148</v>
      </c>
      <c r="P922" s="1889">
        <f>'Part VI-Revenues &amp; Expenses'!P165</f>
        <v>18900</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0</v>
      </c>
      <c r="G923" s="1878">
        <f>'Part VI-Revenues &amp; Expenses'!G166</f>
        <v>0</v>
      </c>
      <c r="J923" s="1895" t="s">
        <v>193</v>
      </c>
      <c r="K923" s="1878">
        <f>SUM(K921:L922)</f>
        <v>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Health Services Coordinator/RSC</v>
      </c>
      <c r="C924" s="478">
        <f>'Part VI-Revenues &amp; Expenses'!C167</f>
        <v>0</v>
      </c>
      <c r="D924" s="478">
        <f>'Part VI-Revenues &amp; Expenses'!D167</f>
        <v>0</v>
      </c>
      <c r="E924" s="478">
        <f>'Part VI-Revenues &amp; Expenses'!E167</f>
        <v>0</v>
      </c>
      <c r="F924" s="1878">
        <f>'Part VI-Revenues &amp; Expenses'!F167</f>
        <v>12480</v>
      </c>
      <c r="G924" s="1878">
        <f>'Part VI-Revenues &amp; Expenses'!G167</f>
        <v>0</v>
      </c>
      <c r="N924" s="1895" t="s">
        <v>193</v>
      </c>
      <c r="P924" s="1889">
        <f>SUM(P921:P923)</f>
        <v>58861</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97480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48638</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2500</v>
      </c>
      <c r="G928" s="1878">
        <f>'Part VI-Revenues &amp; Expenses'!G171</f>
        <v>0</v>
      </c>
      <c r="I928" s="1629" t="s">
        <v>1614</v>
      </c>
      <c r="K928" s="1889">
        <f>'Part VI-Revenues &amp; Expenses'!K171</f>
        <v>8500</v>
      </c>
      <c r="L928" s="1889">
        <f>'Part VI-Revenues &amp; Expenses'!L171</f>
        <v>0</v>
      </c>
      <c r="N928" s="1899">
        <f>+P927/(O819*0.93)</f>
        <v>622.60624679979514</v>
      </c>
      <c r="O928" s="1900" t="s">
        <v>2776</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1750</v>
      </c>
      <c r="G929" s="1878">
        <f>'Part VI-Revenues &amp; Expenses'!G172</f>
        <v>0</v>
      </c>
      <c r="I929" s="1629" t="s">
        <v>2066</v>
      </c>
      <c r="K929" s="1889">
        <f>'Part VI-Revenues &amp; Expenses'!K172</f>
        <v>7500</v>
      </c>
      <c r="L929" s="1889">
        <f>'Part VI-Revenues &amp; Expenses'!L172</f>
        <v>0</v>
      </c>
      <c r="N929" s="1899">
        <f>+P927/(O819*0.93)/12</f>
        <v>51.883853899982931</v>
      </c>
      <c r="O929" s="1900" t="s">
        <v>2777</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1500</v>
      </c>
      <c r="G930" s="1878">
        <f>'Part VI-Revenues &amp; Expenses'!G173</f>
        <v>0</v>
      </c>
      <c r="I930" s="1629" t="s">
        <v>1615</v>
      </c>
      <c r="K930" s="1889">
        <f>'Part VI-Revenues &amp; Expenses'!K173</f>
        <v>5000</v>
      </c>
      <c r="L930" s="1889">
        <f>'Part VI-Revenues &amp; Expenses'!L173</f>
        <v>0</v>
      </c>
      <c r="N930" s="478" t="s">
        <v>3758</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2358</v>
      </c>
      <c r="D931" s="1897"/>
      <c r="F931" s="1878">
        <f>'Part VI-Revenues &amp; Expenses'!F174</f>
        <v>0</v>
      </c>
      <c r="G931" s="1878">
        <f>'Part VI-Revenues &amp; Expenses'!G174</f>
        <v>0</v>
      </c>
      <c r="I931" s="1896" t="str">
        <f>'Part VI-Revenues &amp; Expenses'!I174</f>
        <v>Other (describe here)</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3020</v>
      </c>
      <c r="G932" s="1878">
        <f>'Part VI-Revenues &amp; Expenses'!G175</f>
        <v>0</v>
      </c>
      <c r="I932" s="1818"/>
      <c r="J932" s="1895" t="s">
        <v>193</v>
      </c>
      <c r="K932" s="1889">
        <f>SUM(K928:K931)</f>
        <v>21000</v>
      </c>
      <c r="L932" s="1889"/>
      <c r="M932" s="1902" t="str">
        <f>IF(P934="","",IF(P932&lt;P934, "WARNING! OE below required minimum.",""))</f>
        <v/>
      </c>
      <c r="N932" s="1818" t="s">
        <v>2203</v>
      </c>
      <c r="P932" s="1889">
        <f>F925+F934+F945+K923+K932+K942+P924+P927</f>
        <v>352824</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1878">
        <f>'Part VI-Revenues &amp; Expenses'!F176</f>
        <v>0</v>
      </c>
      <c r="G933" s="1878">
        <f>'Part VI-Revenues &amp; Expenses'!G176</f>
        <v>0</v>
      </c>
      <c r="J933" s="1865"/>
      <c r="M933" s="1902"/>
      <c r="N933" s="1900" t="s">
        <v>2778</v>
      </c>
      <c r="O933" s="1899">
        <f>+P932/O819</f>
        <v>4200.2857142857147</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8770</v>
      </c>
      <c r="G934" s="1878"/>
      <c r="J934" s="1865"/>
      <c r="M934" s="1902"/>
      <c r="O934" s="1900" t="s">
        <v>3759</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2775</v>
      </c>
      <c r="N936" s="1818" t="s">
        <v>3506</v>
      </c>
      <c r="O936" s="1818"/>
      <c r="P936" s="1903">
        <f>'Part VI-Revenues &amp; Expenses'!P179</f>
        <v>21000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11000</v>
      </c>
      <c r="G937" s="1878">
        <f>'Part VI-Revenues &amp; Expenses'!G180</f>
        <v>0</v>
      </c>
      <c r="I937" s="1629" t="s">
        <v>1380</v>
      </c>
      <c r="J937" s="1691">
        <f>K937/12/O819</f>
        <v>14.880952380952381</v>
      </c>
      <c r="K937" s="1889">
        <f>'Part VI-Revenues &amp; Expenses'!K180</f>
        <v>15000</v>
      </c>
      <c r="L937" s="1889">
        <f>'Part VI-Revenues &amp; Expenses'!L180</f>
        <v>0</v>
      </c>
      <c r="M937" s="1902" t="str">
        <f>IF(P936&lt;P945, "WARNING! RR proposed is below the DCA required minimum.","")</f>
        <v/>
      </c>
      <c r="N937" s="478" t="s">
        <v>3767</v>
      </c>
      <c r="P937" s="1904">
        <f>P936/O945</f>
        <v>250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13000</v>
      </c>
      <c r="G938" s="1878">
        <f>'Part VI-Revenues &amp; Expenses'!G181</f>
        <v>0</v>
      </c>
      <c r="I938" s="1629" t="s">
        <v>1381</v>
      </c>
      <c r="J938" s="1691">
        <f>K938/12/O819</f>
        <v>0</v>
      </c>
      <c r="K938" s="1889">
        <f>'Part VI-Revenues &amp; Expenses'!K181</f>
        <v>0</v>
      </c>
      <c r="L938" s="1889">
        <f>'Part VI-Revenues &amp; Expenses'!L181</f>
        <v>0</v>
      </c>
      <c r="M938" s="1902"/>
      <c r="N938" s="1905" t="s">
        <v>3766</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15075</v>
      </c>
      <c r="G939" s="1878">
        <f>'Part VI-Revenues &amp; Expenses'!G182</f>
        <v>0</v>
      </c>
      <c r="I939" s="1629" t="s">
        <v>2369</v>
      </c>
      <c r="J939" s="1691">
        <f>K939/12/O819</f>
        <v>14.880952380952381</v>
      </c>
      <c r="K939" s="1889">
        <f>'Part VI-Revenues &amp; Expenses'!K182</f>
        <v>15000</v>
      </c>
      <c r="L939" s="1889">
        <f>'Part VI-Revenues &amp; Expenses'!L182</f>
        <v>0</v>
      </c>
      <c r="M939" s="1902"/>
      <c r="N939" s="1906" t="s">
        <v>2734</v>
      </c>
      <c r="O939" s="1907" t="s">
        <v>3879</v>
      </c>
      <c r="P939" s="1907" t="s">
        <v>3461</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9000</v>
      </c>
      <c r="G940" s="1878">
        <f>'Part VI-Revenues &amp; Expenses'!G183</f>
        <v>0</v>
      </c>
      <c r="I940" s="1629" t="s">
        <v>1383</v>
      </c>
      <c r="K940" s="1889">
        <f>'Part VI-Revenues &amp; Expenses'!K183</f>
        <v>18000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17000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3453</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0</v>
      </c>
      <c r="G942" s="1878">
        <f>'Part VI-Revenues &amp; Expenses'!G185</f>
        <v>0</v>
      </c>
      <c r="J942" s="1895" t="s">
        <v>193</v>
      </c>
      <c r="K942" s="1889">
        <f>SUM(K937:K941)</f>
        <v>48000</v>
      </c>
      <c r="L942" s="1889"/>
      <c r="M942" s="1902"/>
      <c r="N942" s="1631" t="s">
        <v>3452</v>
      </c>
      <c r="O942" s="1909" t="str">
        <f>CONCATENATE(SUM(JH805:JL805)," units x $",'DCA Underwriting Assumptions'!$Q$66," =")</f>
        <v>84 units x $250 =</v>
      </c>
      <c r="P942" s="1909">
        <f>SUM(JH805:JL805)*'DCA Underwriting Assumptions'!$Q$66</f>
        <v>21000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5000</v>
      </c>
      <c r="G943" s="1878">
        <f>'Part VI-Revenues &amp; Expenses'!G186</f>
        <v>0</v>
      </c>
      <c r="J943" s="1865"/>
      <c r="M943" s="1902"/>
      <c r="N943" s="1748" t="s">
        <v>3456</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3451</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70075</v>
      </c>
      <c r="G945" s="1878"/>
      <c r="J945" s="1865"/>
      <c r="N945" s="1858" t="s">
        <v>2737</v>
      </c>
      <c r="O945" s="1852">
        <f>SUM(JC805:JG805)+SUM(JH805:JL805)+SUM(JM805:JQ805)+O841</f>
        <v>84</v>
      </c>
      <c r="P945" s="1910">
        <f>SUM(P941:P944)</f>
        <v>21000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2204</v>
      </c>
      <c r="P947" s="1889">
        <f>P932+P936</f>
        <v>373824</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4158</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*To all Applicants: Real estate taxes shown in Operating Budget should be prior to any tax abatement.  In addition to your other comments, please provide methodology for determining real estate tax calculation. Property Taxes were calculated as follows:  Property Tax Eagle estimated the FMV of  this property at $3,121,947.  Using the income approach to value prescribed by DOR requires application of a factor of 40% Assessment Ratio to FMV to developed Assessed Value (AV) of $1,248,778.  The estimated millage of .032 is then applied to Av of $1,248,778 to derive an estimated property tax liability of $39,961 year-one (allowing for rounding up cents)  See documentation from our property tax advisor in TAB 01.
**To all Applicants: in addition to your other comments, please provide methodology for insurance calculation.  Property insurance is based on $225/unit or $18,900 annually per our insurance agent.  See documentation in TAB 01.
Included above is the estimated annual budget for our  Housing Resource Coordinator for our Healthy Housing Initiative, Healthy Way.  This person will make $12 an hour x 1,040 hours.  See TAB 30 for details on this annual amount.</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4157</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2018-021 Grayling Place,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4796</v>
      </c>
    </row>
    <row r="961" spans="1:19" ht="12.75" customHeight="1">
      <c r="A961" s="683" t="s">
        <v>2205</v>
      </c>
      <c r="B961" s="1911">
        <v>0.02</v>
      </c>
      <c r="D961" s="1775" t="s">
        <v>4797</v>
      </c>
      <c r="E961" s="1775"/>
      <c r="F961" s="1775"/>
      <c r="G961" s="1912">
        <f>'Part VII-Pro Forma'!G5</f>
        <v>4500</v>
      </c>
      <c r="H961" s="1874" t="s">
        <v>1923</v>
      </c>
      <c r="K961" s="1913" t="e">
        <f>IF(($B$14+$B$15+$B$16+$B$17)=0,"",B984/($B$14+$B$15+$B$16+$B$17))</f>
        <v>#VALUE!</v>
      </c>
    </row>
    <row r="962" spans="1:19">
      <c r="A962" s="683" t="s">
        <v>2206</v>
      </c>
      <c r="B962" s="1911">
        <v>0.03</v>
      </c>
      <c r="D962" s="1775"/>
      <c r="E962" s="1775"/>
      <c r="F962" s="1775"/>
      <c r="G962" s="1914">
        <f>IF(OR('Part III-Sources of Funds'!B967="Yes",'Part III-Sources of Funds'!E967&gt;0),'DCA Underwriting Assumptions'!$Q$95,0)</f>
        <v>0</v>
      </c>
    </row>
    <row r="963" spans="1:19">
      <c r="A963" s="683" t="s">
        <v>2208</v>
      </c>
      <c r="B963" s="1911">
        <v>0.03</v>
      </c>
      <c r="D963" s="1629" t="s">
        <v>272</v>
      </c>
      <c r="G963" s="1915"/>
      <c r="H963" s="1874" t="s">
        <v>2391</v>
      </c>
      <c r="K963" s="1913" t="e">
        <f>IF(($B$14+$B$15+$B$16+$B$17)=0,"",-B976/($B$14+$B$15+$B$16+$B$17))</f>
        <v>#VALUE!</v>
      </c>
    </row>
    <row r="964" spans="1:19">
      <c r="A964" s="683" t="s">
        <v>2207</v>
      </c>
      <c r="B964" s="1911">
        <f>'Part VII-Pro Forma'!B8</f>
        <v>7.0000000000000007E-2</v>
      </c>
      <c r="D964" s="1629" t="s">
        <v>2526</v>
      </c>
      <c r="G964" s="1916" t="str">
        <f>'Part VII-Pro Forma'!G8</f>
        <v>No</v>
      </c>
      <c r="H964" s="1917" t="s">
        <v>1456</v>
      </c>
      <c r="K964" s="1918">
        <f>'Part VII-Pro Forma'!K8</f>
        <v>0</v>
      </c>
    </row>
    <row r="965" spans="1:19">
      <c r="A965" s="683" t="s">
        <v>1430</v>
      </c>
      <c r="B965" s="1911">
        <v>0.02</v>
      </c>
      <c r="D965" s="1629" t="s">
        <v>1731</v>
      </c>
      <c r="G965" s="1916" t="str">
        <f>'Part VII-Pro Forma'!G9</f>
        <v>Yes</v>
      </c>
      <c r="H965" s="1917" t="s">
        <v>2373</v>
      </c>
      <c r="K965" s="1919">
        <f>'Part VII-Pro Forma'!K9</f>
        <v>0.08</v>
      </c>
    </row>
    <row r="967" spans="1:19">
      <c r="A967" s="1821" t="s">
        <v>92</v>
      </c>
      <c r="D967" s="1819"/>
    </row>
    <row r="969" spans="1:19">
      <c r="A969" s="1821" t="s">
        <v>2497</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2421</v>
      </c>
      <c r="B970" s="1920">
        <f>'Part VI-Revenues &amp; Expenses'!$L$49</f>
        <v>641736</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4240</v>
      </c>
    </row>
    <row r="971" spans="1:19">
      <c r="A971" s="683" t="s">
        <v>1026</v>
      </c>
      <c r="B971" s="1920">
        <f>MIN(B970*B965,'Part VI-Revenues &amp; Expenses'!$H$122)</f>
        <v>12000</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2422</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3916</v>
      </c>
      <c r="R972" s="683" t="s">
        <v>4239</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-304186</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35237</v>
      </c>
      <c r="S975" s="683">
        <v>36324.61947986111</v>
      </c>
    </row>
    <row r="976" spans="1:19">
      <c r="A976" s="683" t="s">
        <v>1125</v>
      </c>
      <c r="B976" s="1920">
        <f>IF(AND('Part VII-Pro Forma'!$G$8="Yes",'Part VII-Pro Forma'!$G$9="Yes"),"Choose One!",IF('Part VII-Pro Forma'!$G$8="Yes",ROUND((-$K$8*(1+'Part VII-Pro Forma'!$B$6)^('Part VII-Pro Forma'!B969-1)),),IF('Part VII-Pro Forma'!$G$9="Yes",ROUND((-(SUM(B970:B973)*'Part VII-Pro Forma'!$K$9)),),"Choose mgt fee")))</f>
        <v>-52299</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70474</v>
      </c>
      <c r="S976" s="683">
        <v>73945.148559722176</v>
      </c>
    </row>
    <row r="977" spans="1:19">
      <c r="A977" s="683" t="s">
        <v>1214</v>
      </c>
      <c r="B977" s="1920">
        <f>-('Part VI-Revenues &amp; Expenses'!$P$179)</f>
        <v>-21000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105711</v>
      </c>
      <c r="S977" s="683">
        <v>112789.05963158335</v>
      </c>
    </row>
    <row r="978" spans="1:19">
      <c r="A978" s="683" t="s">
        <v>1215</v>
      </c>
      <c r="B978" s="1920">
        <f t="shared" ref="B978:K978" si="285">SUM(B970:B977)</f>
        <v>276251</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140948</v>
      </c>
      <c r="S978" s="683">
        <v>152778.78736128454</v>
      </c>
    </row>
    <row r="979" spans="1:19">
      <c r="A979" s="683" t="s">
        <v>1603</v>
      </c>
      <c r="B979" s="1920">
        <f>'Part VII-Pro Forma'!B23</f>
        <v>-193325.86052013887</v>
      </c>
      <c r="C979" s="1920">
        <f>'Part VII-Pro Forma'!C23</f>
        <v>-193325.86052013887</v>
      </c>
      <c r="D979" s="1920">
        <f>'Part VII-Pro Forma'!D23</f>
        <v>-193325.86052013887</v>
      </c>
      <c r="E979" s="1920">
        <f>'Part VII-Pro Forma'!E23</f>
        <v>-193325.86052013887</v>
      </c>
      <c r="F979" s="1920">
        <f>'Part VII-Pro Forma'!F23</f>
        <v>-193325.86052013887</v>
      </c>
      <c r="G979" s="1920">
        <f>'Part VII-Pro Forma'!G23</f>
        <v>-193325.86052013887</v>
      </c>
      <c r="H979" s="1920">
        <f>'Part VII-Pro Forma'!H23</f>
        <v>-193325.86052013887</v>
      </c>
      <c r="I979" s="1920">
        <f>'Part VII-Pro Forma'!I23</f>
        <v>-193325.86052013887</v>
      </c>
      <c r="J979" s="1920">
        <f>'Part VII-Pro Forma'!J23</f>
        <v>-193325.86052013887</v>
      </c>
      <c r="K979" s="1920">
        <f>'Part VII-Pro Forma'!K23</f>
        <v>-193325.86052013887</v>
      </c>
      <c r="Q979" s="683">
        <v>5</v>
      </c>
      <c r="R979" s="683">
        <v>176185</v>
      </c>
      <c r="S979" s="683">
        <v>193832.55891876252</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211422</v>
      </c>
      <c r="S980" s="683">
        <v>235863.21814245632</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246659</v>
      </c>
      <c r="S981" s="683">
        <v>278779.04343642993</v>
      </c>
    </row>
    <row r="982" spans="1:19">
      <c r="A982" s="683" t="s">
        <v>3882</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281896</v>
      </c>
      <c r="S982" s="683">
        <v>322482.55919235112</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317133</v>
      </c>
      <c r="S983" s="683">
        <v>366872.34052182897</v>
      </c>
    </row>
    <row r="984" spans="1:19">
      <c r="A984" s="683" t="s">
        <v>1174</v>
      </c>
      <c r="B984" s="1920">
        <f>'Part VII-Pro Forma'!B28</f>
        <v>-4500</v>
      </c>
      <c r="C984" s="1920">
        <f>'Part VII-Pro Forma'!C28</f>
        <v>-4635</v>
      </c>
      <c r="D984" s="1920">
        <f>'Part VII-Pro Forma'!D28</f>
        <v>-4774.05</v>
      </c>
      <c r="E984" s="1920">
        <f>'Part VII-Pro Forma'!E28</f>
        <v>-4917.2714999999998</v>
      </c>
      <c r="F984" s="1920">
        <f>'Part VII-Pro Forma'!F28</f>
        <v>-5064.7896449999998</v>
      </c>
      <c r="G984" s="1920">
        <f>'Part VII-Pro Forma'!G28</f>
        <v>-5216.7333343499995</v>
      </c>
      <c r="H984" s="1920">
        <f>'Part VII-Pro Forma'!H28</f>
        <v>-5373.2353343804998</v>
      </c>
      <c r="I984" s="1920">
        <f>'Part VII-Pro Forma'!I28</f>
        <v>-5534.4323944119151</v>
      </c>
      <c r="J984" s="1920">
        <f>'Part VII-Pro Forma'!J28</f>
        <v>-5700.4653662442724</v>
      </c>
      <c r="K984" s="1920">
        <f>'Part VII-Pro Forma'!K28</f>
        <v>-5871.479327231601</v>
      </c>
      <c r="Q984" s="683">
        <v>10</v>
      </c>
      <c r="R984" s="683">
        <v>352370</v>
      </c>
      <c r="S984" s="683">
        <v>411839.81107777555</v>
      </c>
    </row>
    <row r="985" spans="1:19">
      <c r="A985" s="683" t="s">
        <v>4131</v>
      </c>
      <c r="B985" s="1920">
        <f>'Part VII-Pro Forma'!B29</f>
        <v>-35237</v>
      </c>
      <c r="C985" s="1920">
        <f>'Part VII-Pro Forma'!C29</f>
        <v>-35237</v>
      </c>
      <c r="D985" s="1920">
        <f>'Part VII-Pro Forma'!D29</f>
        <v>-35237</v>
      </c>
      <c r="E985" s="1920">
        <f>'Part VII-Pro Forma'!E29</f>
        <v>-35237</v>
      </c>
      <c r="F985" s="1920">
        <f>'Part VII-Pro Forma'!F29</f>
        <v>-35237</v>
      </c>
      <c r="G985" s="1920">
        <f>'Part VII-Pro Forma'!G29</f>
        <v>-35237</v>
      </c>
      <c r="H985" s="1920">
        <f>'Part VII-Pro Forma'!H29</f>
        <v>-35237</v>
      </c>
      <c r="I985" s="1920">
        <f>'Part VII-Pro Forma'!I29</f>
        <v>-35237</v>
      </c>
      <c r="J985" s="1920">
        <f>'Part VII-Pro Forma'!J29</f>
        <v>-35237</v>
      </c>
      <c r="K985" s="1920">
        <f>'Part VII-Pro Forma'!K29</f>
        <v>-35237</v>
      </c>
      <c r="Q985" s="683">
        <v>11</v>
      </c>
      <c r="R985" s="683">
        <v>387607</v>
      </c>
      <c r="S985" s="683">
        <v>457272.03373640461</v>
      </c>
    </row>
    <row r="986" spans="1:19">
      <c r="A986" s="683" t="s">
        <v>1175</v>
      </c>
      <c r="B986" s="1920">
        <f>SUM(B978:B985)</f>
        <v>43188.139479861129</v>
      </c>
      <c r="C986" s="1920">
        <f t="shared" ref="C986:K986" si="286">SUM(C978:C985)</f>
        <v>-233197.86052013887</v>
      </c>
      <c r="D986" s="1920">
        <f t="shared" si="286"/>
        <v>-233336.91052013886</v>
      </c>
      <c r="E986" s="1920">
        <f t="shared" si="286"/>
        <v>-233480.13202013887</v>
      </c>
      <c r="F986" s="1920">
        <f t="shared" si="286"/>
        <v>-233627.65016513888</v>
      </c>
      <c r="G986" s="1920">
        <f t="shared" si="286"/>
        <v>-233779.59385448886</v>
      </c>
      <c r="H986" s="1920">
        <f t="shared" si="286"/>
        <v>-233936.09585451937</v>
      </c>
      <c r="I986" s="1920">
        <f t="shared" si="286"/>
        <v>-234097.29291455078</v>
      </c>
      <c r="J986" s="1920">
        <f t="shared" si="286"/>
        <v>-234263.32588638313</v>
      </c>
      <c r="K986" s="1920">
        <f t="shared" si="286"/>
        <v>-234434.33984737046</v>
      </c>
      <c r="Q986" s="683">
        <v>12</v>
      </c>
      <c r="R986" s="683">
        <v>422844</v>
      </c>
      <c r="S986" s="683">
        <v>503048.4939042044</v>
      </c>
    </row>
    <row r="987" spans="1:19">
      <c r="A987" s="683" t="str">
        <f>IF('Part III-Sources of Funds'!$E$37 = "Neither", "", "DCR Mortgage A")</f>
        <v>DCR Mortgage A</v>
      </c>
      <c r="B987" s="1921">
        <f t="shared" ref="B987:K987" si="287">IF(B979=0,"",-B978/B979)</f>
        <v>1.4289397148252847</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458081</v>
      </c>
      <c r="S987" s="683">
        <v>549042.8752067266</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493318</v>
      </c>
      <c r="S988" s="683">
        <v>595123.82730829413</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493318</v>
      </c>
      <c r="S989" s="683">
        <v>641150.72560376604</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493318</v>
      </c>
      <c r="S990" s="683">
        <v>693989.27588996757</v>
      </c>
    </row>
    <row r="991" spans="1:19">
      <c r="A991" s="683" t="s">
        <v>3741</v>
      </c>
      <c r="B991" s="1921">
        <f t="shared" ref="B991:K991" si="291">IF(AND(B979=0,B980=0,B981=0,B982=0),"",-B978/(B979+B980+B981+B982))</f>
        <v>1.4289397148252847</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493318</v>
      </c>
      <c r="S991" s="683">
        <v>746685.02246894862</v>
      </c>
    </row>
    <row r="992" spans="1:19">
      <c r="A992" s="683" t="s">
        <v>778</v>
      </c>
      <c r="B992" s="1922">
        <f t="shared" ref="B992:K992" si="292">IF(OR(B976="Choose mgt fee",B976="Choose One!"),"",(B970+B971+B972+B973+B974) / -(B975+B976+B977))</f>
        <v>1.7318198074095659</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493318</v>
      </c>
      <c r="S992" s="683">
        <v>799082.30050886446</v>
      </c>
    </row>
    <row r="993" spans="1:19">
      <c r="A993" s="683" t="s">
        <v>2635</v>
      </c>
      <c r="B993" s="1920">
        <f>'Part VII-Pro Forma'!B37</f>
        <v>2970949.0693541788</v>
      </c>
      <c r="C993" s="1920">
        <f>'Part VII-Pro Forma'!C37</f>
        <v>2940259.4378684186</v>
      </c>
      <c r="D993" s="1920">
        <f>'Part VII-Pro Forma'!D37</f>
        <v>2907838.6699345261</v>
      </c>
      <c r="E993" s="1920">
        <f>'Part VII-Pro Forma'!E37</f>
        <v>2873589.1158494265</v>
      </c>
      <c r="F993" s="1920">
        <f>'Part VII-Pro Forma'!F37</f>
        <v>2837407.6176992278</v>
      </c>
      <c r="G993" s="1920">
        <f>'Part VII-Pro Forma'!G37</f>
        <v>2799185.1986528332</v>
      </c>
      <c r="H993" s="1920">
        <f>'Part VII-Pro Forma'!H37</f>
        <v>2758806.7347292723</v>
      </c>
      <c r="I993" s="1920">
        <f>'Part VII-Pro Forma'!I37</f>
        <v>2716150.6080501289</v>
      </c>
      <c r="J993" s="1920">
        <f>'Part VII-Pro Forma'!J37</f>
        <v>2671088.3405326805</v>
      </c>
      <c r="K993" s="1920">
        <f>'Part VII-Pro Forma'!K37</f>
        <v>2623484.2069204524</v>
      </c>
      <c r="Q993" s="683">
        <v>19</v>
      </c>
      <c r="R993" s="683">
        <v>493318</v>
      </c>
      <c r="S993" s="683">
        <v>851019.31221850193</v>
      </c>
    </row>
    <row r="994" spans="1:19">
      <c r="A994" s="683" t="s">
        <v>2636</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493318</v>
      </c>
      <c r="S994" s="683">
        <v>902325.8473982116</v>
      </c>
    </row>
    <row r="995" spans="1:19">
      <c r="A995" s="683" t="s">
        <v>2637</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4132</v>
      </c>
      <c r="B997" s="1920">
        <f>'Part VII-Pro Forma'!B41</f>
        <v>346613.34603928495</v>
      </c>
      <c r="C997" s="1920">
        <f>'Part VII-Pro Forma'!C41</f>
        <v>328290.90674061998</v>
      </c>
      <c r="D997" s="1920">
        <f>'Part VII-Pro Forma'!D41</f>
        <v>309031.05667361245</v>
      </c>
      <c r="E997" s="1920">
        <f>'Part VII-Pro Forma'!E41</f>
        <v>288785.83612425916</v>
      </c>
      <c r="F997" s="1920">
        <f>'Part VII-Pro Forma'!F41</f>
        <v>267504.83166856668</v>
      </c>
      <c r="G997" s="1920">
        <f>'Part VII-Pro Forma'!G41</f>
        <v>245135.05063609139</v>
      </c>
      <c r="H997" s="1920">
        <f>'Part VII-Pro Forma'!H41</f>
        <v>221620.78915079584</v>
      </c>
      <c r="I997" s="1920">
        <f>'Part VII-Pro Forma'!I41</f>
        <v>196903.49342062522</v>
      </c>
      <c r="J997" s="1920">
        <f>'Part VII-Pro Forma'!J41</f>
        <v>170921.61393039502</v>
      </c>
      <c r="K997" s="1920">
        <f>'Part VII-Pro Forma'!K41</f>
        <v>143610.45217491014</v>
      </c>
    </row>
    <row r="998" spans="1:19">
      <c r="B998" s="1920"/>
      <c r="C998" s="1920"/>
      <c r="D998" s="1920"/>
      <c r="E998" s="1920"/>
      <c r="F998" s="1920"/>
      <c r="G998" s="1920"/>
      <c r="H998" s="1920"/>
      <c r="I998" s="1920"/>
      <c r="J998" s="1920"/>
      <c r="K998" s="1920"/>
    </row>
    <row r="999" spans="1:19">
      <c r="A999" s="1821" t="s">
        <v>2497</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2421</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2422</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-193325.86052013887</v>
      </c>
      <c r="C1009" s="1920">
        <f>'Part VII-Pro Forma'!C53</f>
        <v>-193325.86052013887</v>
      </c>
      <c r="D1009" s="1920">
        <f>'Part VII-Pro Forma'!D53</f>
        <v>-193325.86052013887</v>
      </c>
      <c r="E1009" s="1920">
        <f>'Part VII-Pro Forma'!E53</f>
        <v>-193325.86052013887</v>
      </c>
      <c r="F1009" s="1920">
        <f>'Part VII-Pro Forma'!F53</f>
        <v>-193325.86052013887</v>
      </c>
      <c r="G1009" s="1920">
        <f>'Part VII-Pro Forma'!G53</f>
        <v>-193325.86052013887</v>
      </c>
      <c r="H1009" s="1920">
        <f>'Part VII-Pro Forma'!H53</f>
        <v>-193325.86052013887</v>
      </c>
      <c r="I1009" s="1920">
        <f>'Part VII-Pro Forma'!I53</f>
        <v>-193325.86052013887</v>
      </c>
      <c r="J1009" s="1920">
        <f>'Part VII-Pro Forma'!J53</f>
        <v>-193325.86052013887</v>
      </c>
      <c r="K1009" s="1920">
        <f>'Part VII-Pro Forma'!K53</f>
        <v>-193325.86052013887</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-6047.6237070485495</v>
      </c>
      <c r="C1014" s="1920">
        <f>'Part VII-Pro Forma'!C58</f>
        <v>-6229.0524182600057</v>
      </c>
      <c r="D1014" s="1920">
        <f>'Part VII-Pro Forma'!D58</f>
        <v>-6415.9239908078061</v>
      </c>
      <c r="E1014" s="1920">
        <f>'Part VII-Pro Forma'!E58</f>
        <v>-6608.4017105320399</v>
      </c>
      <c r="F1014" s="1920">
        <f>'Part VII-Pro Forma'!F58</f>
        <v>-6806.6537618480015</v>
      </c>
      <c r="G1014" s="1920">
        <f>'Part VII-Pro Forma'!G58</f>
        <v>0</v>
      </c>
      <c r="H1014" s="1920">
        <f>'Part VII-Pro Forma'!H58</f>
        <v>0</v>
      </c>
      <c r="I1014" s="1920">
        <f>'Part VII-Pro Forma'!I58</f>
        <v>0</v>
      </c>
      <c r="J1014" s="1920">
        <f>'Part VII-Pro Forma'!J58</f>
        <v>0</v>
      </c>
      <c r="K1014" s="1920">
        <f>'Part VII-Pro Forma'!K58</f>
        <v>0</v>
      </c>
    </row>
    <row r="1015" spans="1:11">
      <c r="A1015" s="683" t="s">
        <v>4131</v>
      </c>
      <c r="B1015" s="1920">
        <f>'Part VII-Pro Forma'!B59</f>
        <v>-35237</v>
      </c>
      <c r="C1015" s="1920">
        <f>'Part VII-Pro Forma'!C59</f>
        <v>-35237</v>
      </c>
      <c r="D1015" s="1920">
        <f>'Part VII-Pro Forma'!D59</f>
        <v>-35237</v>
      </c>
      <c r="E1015" s="1920">
        <f>'Part VII-Pro Forma'!E59</f>
        <v>-35237</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-234610.48422718741</v>
      </c>
      <c r="C1016" s="1920">
        <f t="shared" ref="C1016:K1016" si="300">SUM(C1008:C1015)</f>
        <v>-234791.91293839889</v>
      </c>
      <c r="D1016" s="1920">
        <f t="shared" si="300"/>
        <v>-234978.78451094669</v>
      </c>
      <c r="E1016" s="1920">
        <f t="shared" si="300"/>
        <v>-235171.26223067092</v>
      </c>
      <c r="F1016" s="1920">
        <f t="shared" si="300"/>
        <v>-200132.51428198686</v>
      </c>
      <c r="G1016" s="1920">
        <f t="shared" si="300"/>
        <v>-193325.86052013887</v>
      </c>
      <c r="H1016" s="1920">
        <f t="shared" si="300"/>
        <v>-193325.86052013887</v>
      </c>
      <c r="I1016" s="1920">
        <f t="shared" si="300"/>
        <v>-193325.86052013887</v>
      </c>
      <c r="J1016" s="1920">
        <f t="shared" si="300"/>
        <v>-193325.86052013887</v>
      </c>
      <c r="K1016" s="1920">
        <f t="shared" si="300"/>
        <v>-193325.86052013887</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3741</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2635</v>
      </c>
      <c r="B1023" s="1920">
        <f>'Part VII-Pro Forma'!B67</f>
        <v>2573194.8259856515</v>
      </c>
      <c r="C1023" s="1920">
        <f>'Part VII-Pro Forma'!C67</f>
        <v>2520068.728672205</v>
      </c>
      <c r="D1023" s="1920">
        <f>'Part VII-Pro Forma'!D67</f>
        <v>2463945.9018786731</v>
      </c>
      <c r="E1023" s="1920">
        <f>'Part VII-Pro Forma'!E67</f>
        <v>2404657.3065069304</v>
      </c>
      <c r="F1023" s="1920">
        <f>'Part VII-Pro Forma'!F67</f>
        <v>2342024.3683250039</v>
      </c>
      <c r="G1023" s="1920">
        <f>'Part VII-Pro Forma'!G67</f>
        <v>2275858.4401105754</v>
      </c>
      <c r="H1023" s="1920">
        <f>'Part VII-Pro Forma'!H67</f>
        <v>2205960.2334551481</v>
      </c>
      <c r="I1023" s="1920">
        <f>'Part VII-Pro Forma'!I67</f>
        <v>2132119.2185175018</v>
      </c>
      <c r="J1023" s="1920">
        <f>'Part VII-Pro Forma'!J67</f>
        <v>2054112.989918527</v>
      </c>
      <c r="K1023" s="1920">
        <f>'Part VII-Pro Forma'!K67</f>
        <v>1971706.5968675392</v>
      </c>
    </row>
    <row r="1024" spans="1:11">
      <c r="A1024" s="683" t="s">
        <v>2636</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2637</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4132</v>
      </c>
      <c r="B1027" s="1920">
        <f>'Part VII-Pro Forma'!B71</f>
        <v>114901.99955065965</v>
      </c>
      <c r="C1027" s="1920">
        <f>'Part VII-Pro Forma'!C71</f>
        <v>84724.768004904661</v>
      </c>
      <c r="D1027" s="1920">
        <f>'Part VII-Pro Forma'!D71</f>
        <v>53003.612020452347</v>
      </c>
      <c r="E1027" s="1920">
        <f>'Part VII-Pro Forma'!E71</f>
        <v>19659.541492832941</v>
      </c>
      <c r="F1027" s="1920">
        <f>'Part VII-Pro Forma'!F71</f>
        <v>20665.360947090961</v>
      </c>
      <c r="G1027" s="1920">
        <f>'Part VII-Pro Forma'!G71</f>
        <v>21722.640033555192</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2497</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2421</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2422</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-193325.86052013887</v>
      </c>
      <c r="C1039" s="1920">
        <f>'Part VII-Pro Forma'!C83</f>
        <v>-193325.86052013887</v>
      </c>
      <c r="D1039" s="1920">
        <f>'Part VII-Pro Forma'!D83</f>
        <v>-193325.86052013887</v>
      </c>
      <c r="E1039" s="1920">
        <f>'Part VII-Pro Forma'!E83</f>
        <v>-193325.86052013887</v>
      </c>
      <c r="F1039" s="1920">
        <f>'Part VII-Pro Forma'!F83</f>
        <v>-193325.86052013887</v>
      </c>
      <c r="G1039" s="1920">
        <f>'Part VII-Pro Forma'!G83</f>
        <v>-193325.86052013887</v>
      </c>
      <c r="H1039" s="1920">
        <f>'Part VII-Pro Forma'!H83</f>
        <v>-193325.86052013887</v>
      </c>
      <c r="I1039" s="1920">
        <f>'Part VII-Pro Forma'!I83</f>
        <v>-193325.86052013887</v>
      </c>
      <c r="J1039" s="1920">
        <f>'Part VII-Pro Forma'!J83</f>
        <v>-193325.86052013887</v>
      </c>
      <c r="K1039" s="1920">
        <f>'Part VII-Pro Forma'!K83</f>
        <v>-193325.86052013887</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0</v>
      </c>
      <c r="C1044" s="1920">
        <f>'Part VII-Pro Forma'!C88</f>
        <v>0</v>
      </c>
      <c r="D1044" s="1920">
        <f>'Part VII-Pro Forma'!D88</f>
        <v>0</v>
      </c>
      <c r="E1044" s="1920">
        <f>'Part VII-Pro Forma'!E88</f>
        <v>0</v>
      </c>
      <c r="F1044" s="1920">
        <f>'Part VII-Pro Forma'!F88</f>
        <v>0</v>
      </c>
      <c r="G1044" s="1920">
        <f>'Part VII-Pro Forma'!G88</f>
        <v>0</v>
      </c>
      <c r="H1044" s="1920">
        <f>'Part VII-Pro Forma'!H88</f>
        <v>0</v>
      </c>
      <c r="I1044" s="1920">
        <f>'Part VII-Pro Forma'!I88</f>
        <v>0</v>
      </c>
      <c r="J1044" s="1920">
        <f>'Part VII-Pro Forma'!J88</f>
        <v>0</v>
      </c>
      <c r="K1044" s="1920">
        <f>'Part VII-Pro Forma'!K88</f>
        <v>0</v>
      </c>
    </row>
    <row r="1045" spans="1:11">
      <c r="A1045" s="683" t="s">
        <v>1175</v>
      </c>
      <c r="B1045" s="1920">
        <f t="shared" ref="B1045:K1045" si="314">SUM(B1038:B1044)</f>
        <v>-193325.86052013887</v>
      </c>
      <c r="C1045" s="1920">
        <f t="shared" si="314"/>
        <v>-193325.86052013887</v>
      </c>
      <c r="D1045" s="1920">
        <f t="shared" si="314"/>
        <v>-193325.86052013887</v>
      </c>
      <c r="E1045" s="1920">
        <f t="shared" si="314"/>
        <v>-193325.86052013887</v>
      </c>
      <c r="F1045" s="1920">
        <f t="shared" si="314"/>
        <v>-193325.86052013887</v>
      </c>
      <c r="G1045" s="1920">
        <f t="shared" si="314"/>
        <v>-193325.86052013887</v>
      </c>
      <c r="H1045" s="1920">
        <f t="shared" si="314"/>
        <v>-193325.86052013887</v>
      </c>
      <c r="I1045" s="1920">
        <f t="shared" si="314"/>
        <v>-193325.86052013887</v>
      </c>
      <c r="J1045" s="1920">
        <f t="shared" si="314"/>
        <v>-193325.86052013887</v>
      </c>
      <c r="K1045" s="1920">
        <f t="shared" si="314"/>
        <v>-193325.86052013887</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3741</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2635</v>
      </c>
      <c r="B1052" s="1920">
        <f>'Part VII-Pro Forma'!B96</f>
        <v>1884651.8355024557</v>
      </c>
      <c r="C1052" s="1920">
        <f>'Part VII-Pro Forma'!C96</f>
        <v>1792686.5013123944</v>
      </c>
      <c r="D1052" s="1920">
        <f>'Part VII-Pro Forma'!D96</f>
        <v>1695533.5993910311</v>
      </c>
      <c r="E1052" s="1920">
        <f>'Part VII-Pro Forma'!E96</f>
        <v>1592900.5101420379</v>
      </c>
      <c r="F1052" s="1920">
        <f>'Part VII-Pro Forma'!F96</f>
        <v>1484478.1079237512</v>
      </c>
      <c r="G1052" s="1920">
        <f>'Part VII-Pro Forma'!G96</f>
        <v>1369939.8299784712</v>
      </c>
      <c r="H1052" s="1920">
        <f>'Part VII-Pro Forma'!H96</f>
        <v>1248940.6928420539</v>
      </c>
      <c r="I1052" s="1920">
        <f>'Part VII-Pro Forma'!I96</f>
        <v>1121116.2532712757</v>
      </c>
      <c r="J1052" s="1920">
        <f>'Part VII-Pro Forma'!J96</f>
        <v>986081.51055932953</v>
      </c>
      <c r="K1052" s="1920">
        <f>'Part VII-Pro Forma'!K96</f>
        <v>843429.7469332912</v>
      </c>
    </row>
    <row r="1053" spans="1:11">
      <c r="A1053" s="683" t="s">
        <v>2636</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2637</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2497</v>
      </c>
      <c r="B1057" s="1923">
        <f>K1029+1</f>
        <v>31</v>
      </c>
      <c r="C1057" s="1923">
        <f>B1057+1</f>
        <v>32</v>
      </c>
      <c r="D1057" s="1923">
        <f>C1057+1</f>
        <v>33</v>
      </c>
      <c r="E1057" s="1923">
        <f>D1057+1</f>
        <v>34</v>
      </c>
      <c r="F1057" s="1923">
        <f>E1057+1</f>
        <v>35</v>
      </c>
      <c r="G1057" s="1920"/>
      <c r="H1057" s="1920"/>
      <c r="I1057" s="1920"/>
      <c r="J1057" s="1920"/>
      <c r="K1057" s="1920"/>
    </row>
    <row r="1058" spans="1:11">
      <c r="A1058" s="683" t="s">
        <v>2421</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2422</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-193325.86052013887</v>
      </c>
      <c r="C1067" s="1920">
        <f>'Part VII-Pro Forma'!C111</f>
        <v>-193325.86052013887</v>
      </c>
      <c r="D1067" s="1920">
        <f>'Part VII-Pro Forma'!D111</f>
        <v>-193325.86052013887</v>
      </c>
      <c r="E1067" s="1920">
        <f>'Part VII-Pro Forma'!E111</f>
        <v>-193325.86052013887</v>
      </c>
      <c r="F1067" s="1920">
        <f>'Part VII-Pro Forma'!F111</f>
        <v>-193325.86052013887</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0</v>
      </c>
      <c r="C1072" s="1920">
        <f>'Part VII-Pro Forma'!C116</f>
        <v>0</v>
      </c>
      <c r="D1072" s="1920">
        <f>'Part VII-Pro Forma'!D116</f>
        <v>0</v>
      </c>
      <c r="E1072" s="1920">
        <f>'Part VII-Pro Forma'!E116</f>
        <v>0</v>
      </c>
      <c r="F1072" s="1920">
        <f>'Part VII-Pro Forma'!F116</f>
        <v>0</v>
      </c>
      <c r="G1072" s="1920"/>
      <c r="H1072" s="1920"/>
      <c r="I1072" s="1920"/>
      <c r="J1072" s="1920"/>
      <c r="K1072" s="1920"/>
    </row>
    <row r="1073" spans="1:11">
      <c r="A1073" s="683" t="s">
        <v>1175</v>
      </c>
      <c r="B1073" s="1920">
        <f>SUM(B1066:B1072)</f>
        <v>-193325.86052013887</v>
      </c>
      <c r="C1073" s="1920">
        <f>SUM(C1066:C1072)</f>
        <v>-193325.86052013887</v>
      </c>
      <c r="D1073" s="1920">
        <f>SUM(D1066:D1072)</f>
        <v>-193325.86052013887</v>
      </c>
      <c r="E1073" s="1920">
        <f>SUM(E1066:E1072)</f>
        <v>-193325.86052013887</v>
      </c>
      <c r="F1073" s="1920">
        <f>SUM(F1066:F1072)</f>
        <v>-193325.86052013887</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3741</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2635</v>
      </c>
      <c r="B1080" s="1920">
        <f>'Part VII-Pro Forma'!B124</f>
        <v>692731.30254088494</v>
      </c>
      <c r="C1080" s="1920">
        <f>'Part VII-Pro Forma'!C124</f>
        <v>533532.28133687447</v>
      </c>
      <c r="D1080" s="1920">
        <f>'Part VII-Pro Forma'!D124</f>
        <v>365353.18397127429</v>
      </c>
      <c r="E1080" s="1920">
        <f>'Part VII-Pro Forma'!E124</f>
        <v>187687.46356170994</v>
      </c>
      <c r="F1080" s="1920">
        <f>'Part VII-Pro Forma'!F124</f>
        <v>-1.2660166248679161E-8</v>
      </c>
      <c r="G1080" s="1920"/>
      <c r="H1080" s="1920"/>
      <c r="I1080" s="1920"/>
      <c r="J1080" s="1920"/>
      <c r="K1080" s="1920"/>
    </row>
    <row r="1081" spans="1:11">
      <c r="A1081" s="683" t="s">
        <v>2636</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2637</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APPLICANTS: Explain any any debt service payment amounts that deviate from the amount shown in Permanent Sources (Part III)
The annual asset management fees of $500 to the state investor and $4,000 to the federal investor are payable for 15 years.</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2018-021 Grayling Place,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4798</v>
      </c>
      <c r="K1100" s="1927"/>
      <c r="L1100" s="1927"/>
      <c r="M1100" s="1927"/>
      <c r="N1100" s="1927"/>
      <c r="O1100" s="1927"/>
      <c r="P1100" s="1928">
        <f>'Part VIII-Threshold Criteria'!P6</f>
        <v>0</v>
      </c>
      <c r="Q1100" s="1928">
        <f>'Part VIII-Threshold Criteria'!Q6</f>
        <v>0</v>
      </c>
    </row>
    <row r="1101" spans="1:17">
      <c r="A1101" s="1929" t="s">
        <v>3474</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2669</v>
      </c>
      <c r="C1123" s="1932"/>
      <c r="D1123" s="1933"/>
      <c r="E1123" s="1933"/>
      <c r="F1123" s="1933"/>
      <c r="G1123" s="1933"/>
      <c r="I1123" s="1934"/>
      <c r="J1123" s="1934"/>
      <c r="K1123" s="1934"/>
      <c r="L1123" s="1836"/>
      <c r="M1123" s="1836"/>
      <c r="O1123" s="1935" t="s">
        <v>1882</v>
      </c>
      <c r="P1123" s="1844">
        <f>'Part VIII-Threshold Criteria'!P29</f>
        <v>0</v>
      </c>
      <c r="Q1123" s="1844">
        <f>'Part VIII-Threshold Criteria'!Q29</f>
        <v>0</v>
      </c>
    </row>
    <row r="1125" spans="1:17">
      <c r="B1125" s="1900" t="s">
        <v>3781</v>
      </c>
      <c r="C1125" s="1900"/>
      <c r="D1125" s="1900"/>
      <c r="E1125" s="1900"/>
      <c r="F1125" s="1900"/>
      <c r="G1125" s="1934"/>
      <c r="H1125" s="1934"/>
      <c r="I1125" s="1934"/>
      <c r="J1125" s="1934"/>
      <c r="K1125" s="1836"/>
      <c r="L1125" s="1836"/>
      <c r="M1125" s="1836"/>
      <c r="N1125" s="1836"/>
      <c r="O1125" s="1836"/>
      <c r="P1125" s="1836"/>
    </row>
    <row r="1126" spans="1:17" ht="409.5">
      <c r="A1126" s="1936" t="str">
        <f>'Part VIII-Threshold Criteria'!A32</f>
        <v>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the 2018 QAP.  Applicant has followed all of DCA's policies pertaining to Project Rents, Operating Utility Allowances, Deferred Developer Fees and Commitments in this application. Applicant has shown that the percentage of unrestricted units included in this application is greater than or equal to the the percentage of unrestricted financing sources is to the total development costs.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Per Q&amp;A #8, this unit area information is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giving direction to provide this information. The square footage for a one bedroom unit is 877 sf, 1,178 sf for a two bedroom unit and 1,340 sf for a three bedroom unit.</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1881</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2731</v>
      </c>
      <c r="C1130" s="1818"/>
      <c r="D1130" s="1818"/>
      <c r="E1130" s="1939"/>
      <c r="G1130" s="1844"/>
      <c r="H1130" s="1844"/>
      <c r="I1130" s="1844"/>
      <c r="J1130" s="1629"/>
      <c r="L1130" s="1940"/>
      <c r="M1130" s="1940"/>
      <c r="N1130" s="1940"/>
      <c r="O1130" s="1935" t="s">
        <v>1882</v>
      </c>
      <c r="P1130" s="1844">
        <f>'Part VIII-Threshold Criteria'!P36</f>
        <v>0</v>
      </c>
      <c r="Q1130" s="1844">
        <f>'Part VIII-Threshold Criteria'!Q36</f>
        <v>0</v>
      </c>
    </row>
    <row r="1131" spans="1:17" ht="12.75" customHeight="1">
      <c r="A1131" s="1941" t="s">
        <v>4799</v>
      </c>
      <c r="B1131" s="1941"/>
      <c r="C1131" s="1941"/>
      <c r="D1131" s="1941"/>
      <c r="E1131" s="1941"/>
      <c r="F1131" s="1941"/>
      <c r="G1131" s="1748" t="s">
        <v>2735</v>
      </c>
      <c r="H1131" s="1748"/>
      <c r="I1131" s="1933"/>
      <c r="J1131" s="1629"/>
      <c r="K1131" s="1933" t="s">
        <v>3661</v>
      </c>
      <c r="L1131" s="1933"/>
      <c r="M1131" s="1933"/>
      <c r="N1131" s="1933"/>
    </row>
    <row r="1132" spans="1:17" ht="13.5">
      <c r="A1132" s="1941"/>
      <c r="B1132" s="1941"/>
      <c r="C1132" s="1941"/>
      <c r="D1132" s="1941"/>
      <c r="E1132" s="1941"/>
      <c r="F1132" s="1941"/>
      <c r="G1132" s="1748" t="s">
        <v>348</v>
      </c>
      <c r="H1132" s="1748"/>
      <c r="I1132" s="1933"/>
      <c r="J1132" s="1629"/>
      <c r="K1132" s="478" t="s">
        <v>3662</v>
      </c>
      <c r="L1132" s="478"/>
      <c r="M1132" s="478"/>
      <c r="N1132" s="478"/>
      <c r="P1132" s="1761" t="s">
        <v>2755</v>
      </c>
      <c r="Q1132" s="1942">
        <f>'Part VIII-Threshold Criteria'!Q38</f>
        <v>0</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2734</v>
      </c>
      <c r="F1134" s="1944" t="s">
        <v>3477</v>
      </c>
      <c r="G1134" s="1944" t="s">
        <v>3476</v>
      </c>
      <c r="H1134" s="1944"/>
      <c r="I1134" s="1944"/>
      <c r="K1134" s="1944" t="s">
        <v>3477</v>
      </c>
      <c r="L1134" s="1944" t="s">
        <v>3476</v>
      </c>
      <c r="M1134" s="1944"/>
      <c r="N1134" s="1944"/>
    </row>
    <row r="1135" spans="1:17" ht="12.75" customHeight="1">
      <c r="A1135" s="1945" t="s">
        <v>3381</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3924</v>
      </c>
      <c r="Q1135" s="1832"/>
    </row>
    <row r="1136" spans="1:17" ht="12.75" customHeight="1">
      <c r="A1136" s="1945"/>
      <c r="B1136" s="1945"/>
      <c r="C1136" s="1945"/>
      <c r="D1136" s="1946" t="s">
        <v>2457</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Columbus</v>
      </c>
      <c r="Q1136" s="1950">
        <f>'Part VIII-Threshold Criteria'!Q42</f>
        <v>0</v>
      </c>
    </row>
    <row r="1137" spans="1:17">
      <c r="A1137" s="1945"/>
      <c r="B1137" s="1945"/>
      <c r="C1137" s="1945"/>
      <c r="D1137" s="1946" t="s">
        <v>2458</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2459</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3658</v>
      </c>
      <c r="Q1138" s="1901"/>
    </row>
    <row r="1139" spans="1:17" ht="12.75" customHeight="1">
      <c r="C1139" s="1629"/>
      <c r="D1139" s="1946" t="s">
        <v>2460</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16105048</v>
      </c>
      <c r="Q1139" s="1951">
        <f>'Part VIII-Threshold Criteria'!Q45</f>
        <v>0</v>
      </c>
    </row>
    <row r="1140" spans="1:17" ht="12.75" customHeight="1">
      <c r="C1140" s="1629"/>
      <c r="D1140" s="1952" t="s">
        <v>3391</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3376</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4136</v>
      </c>
      <c r="Q1142" s="1792"/>
    </row>
    <row r="1143" spans="1:17" ht="12.75" customHeight="1">
      <c r="A1143" s="1945"/>
      <c r="B1143" s="1945"/>
      <c r="C1143" s="1945"/>
      <c r="D1143" s="1946" t="s">
        <v>2457</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2458</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2459</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2460</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3656</v>
      </c>
      <c r="Q1146" s="478"/>
    </row>
    <row r="1147" spans="1:17">
      <c r="C1147" s="1629"/>
      <c r="D1147" s="1952" t="s">
        <v>3391</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3268</v>
      </c>
      <c r="Q1147" s="1845" t="s">
        <v>258</v>
      </c>
    </row>
    <row r="1148" spans="1:17">
      <c r="C1148" s="1629"/>
      <c r="D1148" s="1959"/>
      <c r="E1148" s="1959"/>
      <c r="F1148" s="1960"/>
      <c r="G1148" s="1961"/>
      <c r="I1148" s="1960"/>
      <c r="K1148" s="1960"/>
      <c r="M1148" s="1939"/>
      <c r="N1148" s="1960"/>
      <c r="O1148" s="1963"/>
    </row>
    <row r="1149" spans="1:17">
      <c r="A1149" s="1748" t="s">
        <v>3377</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2457</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3657</v>
      </c>
      <c r="Q1150" s="478"/>
    </row>
    <row r="1151" spans="1:17">
      <c r="C1151" s="1629"/>
      <c r="D1151" s="1946" t="s">
        <v>2458</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3268</v>
      </c>
      <c r="Q1151" s="1845" t="s">
        <v>258</v>
      </c>
    </row>
    <row r="1152" spans="1:17">
      <c r="C1152" s="1629"/>
      <c r="D1152" s="1946" t="s">
        <v>2459</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2460</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2790</v>
      </c>
      <c r="Q1153" s="1965"/>
    </row>
    <row r="1154" spans="1:17" ht="12.75" customHeight="1">
      <c r="C1154" s="1629"/>
      <c r="D1154" s="1952" t="s">
        <v>3391</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3378</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2457</v>
      </c>
      <c r="E1157" s="1934">
        <v>1</v>
      </c>
      <c r="F1157" s="1947">
        <f>'Part VI-Revenues &amp; Expenses'!$K$110</f>
        <v>10</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10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16792844</v>
      </c>
      <c r="Q1157" s="1966">
        <f>'Part VIII-Threshold Criteria'!Q63</f>
        <v>0</v>
      </c>
    </row>
    <row r="1158" spans="1:17" ht="12.75" customHeight="1">
      <c r="C1158" s="1629"/>
      <c r="D1158" s="1946" t="s">
        <v>2458</v>
      </c>
      <c r="E1158" s="1934">
        <v>2</v>
      </c>
      <c r="F1158" s="1947">
        <f>'Part VI-Revenues &amp; Expenses'!$L$110</f>
        <v>56</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56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2459</v>
      </c>
      <c r="E1159" s="1934">
        <v>3</v>
      </c>
      <c r="F1159" s="1947">
        <f>'Part VI-Revenues &amp; Expenses'!$M$110</f>
        <v>18</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18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4547</v>
      </c>
      <c r="Q1159" s="1927"/>
    </row>
    <row r="1160" spans="1:17">
      <c r="C1160" s="1629"/>
      <c r="D1160" s="1946" t="s">
        <v>2460</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3391</v>
      </c>
      <c r="E1161" s="1953"/>
      <c r="F1161" s="1954">
        <f>SUM(F1156:F1160)</f>
        <v>84</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3392</v>
      </c>
      <c r="B1163" s="1629"/>
      <c r="C1163" s="1629"/>
      <c r="D1163" s="1629"/>
      <c r="E1163" s="1830"/>
      <c r="F1163" s="1970">
        <f>F1140+F1147+F1154+F1161</f>
        <v>84</v>
      </c>
      <c r="G1163" s="1695"/>
      <c r="H1163" s="1971">
        <f>'Part VIII-Threshold Criteria'!H69</f>
        <v>16792844</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3781</v>
      </c>
      <c r="D1164" s="1873"/>
      <c r="E1164" s="1873"/>
      <c r="F1164" s="1873"/>
      <c r="G1164" s="1873"/>
      <c r="H1164" s="1872"/>
      <c r="I1164" s="1934"/>
      <c r="J1164" s="1934"/>
      <c r="K1164" s="1937" t="s">
        <v>1881</v>
      </c>
      <c r="L1164" s="1836"/>
      <c r="M1164" s="1836"/>
      <c r="N1164" s="1836"/>
      <c r="O1164" s="1836"/>
      <c r="P1164" s="1836"/>
      <c r="Q1164" s="1836"/>
    </row>
    <row r="1165" spans="1:17" ht="409.5">
      <c r="A1165" s="1936" t="str">
        <f>'Part VIII-Threshold Criteria'!A71</f>
        <v xml:space="preserve">Applicant has met Threshold because project costs are within DCA's Cost Limits. Please note that the Unit Cost Limits shown above utilize HUD's 2017 TDC Limits for buildings with elevators.  This project does not contain elevators and has three story walk-up buildings as noted on the Revenues &amp; Expenses tab. The PCL stated in cell P63 overstates the actual cost limits.  Please see Tab 44 for Applicant's calculation of Unit Cost Limits.
</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1882</v>
      </c>
      <c r="P1167" s="1844">
        <f>'Part VIII-Threshold Criteria'!P73</f>
        <v>0</v>
      </c>
      <c r="Q1167" s="1844">
        <f>'Part VIII-Threshold Criteria'!Q73</f>
        <v>0</v>
      </c>
    </row>
    <row r="1168" spans="1:17">
      <c r="B1168" s="1873" t="s">
        <v>3781</v>
      </c>
      <c r="D1168" s="1873"/>
      <c r="E1168" s="1873"/>
      <c r="F1168" s="1873"/>
      <c r="G1168" s="1873"/>
      <c r="H1168" s="1872"/>
      <c r="I1168" s="1934"/>
      <c r="J1168" s="1934"/>
      <c r="K1168" s="1937" t="s">
        <v>1881</v>
      </c>
      <c r="L1168" s="1836"/>
      <c r="M1168" s="1836"/>
      <c r="N1168" s="1836"/>
      <c r="O1168" s="1836"/>
      <c r="P1168" s="1836"/>
      <c r="Q1168" s="1836"/>
    </row>
    <row r="1169" spans="1:17" ht="90">
      <c r="A1169" s="1936" t="str">
        <f>'Part VIII-Threshold Criteria'!A75</f>
        <v xml:space="preserve">Applicant has met Threshold by designating this as a family project.  </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2670</v>
      </c>
      <c r="C1171" s="1969"/>
      <c r="D1171" s="1939"/>
      <c r="E1171" s="1939"/>
      <c r="F1171" s="1939"/>
      <c r="G1171" s="1939"/>
      <c r="H1171" s="1939"/>
      <c r="I1171" s="1939"/>
      <c r="J1171" s="1939"/>
      <c r="K1171" s="1939"/>
      <c r="L1171" s="1939"/>
      <c r="M1171" s="1939"/>
      <c r="O1171" s="1935" t="s">
        <v>1882</v>
      </c>
      <c r="P1171" s="1844">
        <f>'Part VIII-Threshold Criteria'!P77</f>
        <v>0</v>
      </c>
      <c r="Q1171" s="1844">
        <f>'Part VIII-Threshold Criteria'!Q77</f>
        <v>0</v>
      </c>
    </row>
    <row r="1173" spans="1:17">
      <c r="A1173" s="1973" t="s">
        <v>2000</v>
      </c>
      <c r="B1173" s="1961" t="s">
        <v>3771</v>
      </c>
      <c r="D1173" s="1961"/>
      <c r="E1173" s="1961"/>
      <c r="F1173" s="1961"/>
      <c r="G1173" s="1961"/>
      <c r="H1173" s="1961"/>
      <c r="I1173" s="1961"/>
      <c r="K1173" s="1961"/>
      <c r="L1173" s="1961"/>
      <c r="M1173" s="1974" t="s">
        <v>3724</v>
      </c>
      <c r="O1173" s="1936"/>
      <c r="P1173" s="1942" t="str">
        <f>'Part VIII-Threshold Criteria'!P79</f>
        <v>Agree</v>
      </c>
    </row>
    <row r="1174" spans="1:17">
      <c r="A1174" s="1975" t="s">
        <v>2002</v>
      </c>
      <c r="B1174" s="1872" t="s">
        <v>3770</v>
      </c>
      <c r="D1174" s="1872"/>
      <c r="E1174" s="1872"/>
      <c r="F1174" s="1872"/>
      <c r="G1174" s="1872"/>
      <c r="H1174" s="1872"/>
      <c r="I1174" s="1872"/>
      <c r="J1174" s="1872"/>
      <c r="K1174" s="1872"/>
      <c r="L1174" s="1872"/>
      <c r="M1174" s="1872"/>
      <c r="O1174" s="1872"/>
      <c r="P1174" s="1872"/>
      <c r="Q1174" s="1872"/>
    </row>
    <row r="1175" spans="1:17">
      <c r="A1175" s="1976"/>
      <c r="B1175" s="1977" t="s">
        <v>1750</v>
      </c>
      <c r="C1175" s="1872" t="s">
        <v>3508</v>
      </c>
      <c r="E1175" s="1866"/>
      <c r="F1175" s="1866"/>
      <c r="G1175" s="1866"/>
      <c r="H1175" s="1629"/>
      <c r="I1175" s="478" t="s">
        <v>2725</v>
      </c>
      <c r="J1175" s="1978" t="str">
        <f>'Part VIII-Threshold Criteria'!J81</f>
        <v>Movie nights</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33.75">
      <c r="A1176" s="1976"/>
      <c r="B1176" s="1977" t="s">
        <v>1751</v>
      </c>
      <c r="C1176" s="1872" t="s">
        <v>3606</v>
      </c>
      <c r="E1176" s="1866"/>
      <c r="F1176" s="1866"/>
      <c r="G1176" s="1866"/>
      <c r="H1176" s="1629"/>
      <c r="I1176" s="478" t="s">
        <v>2725</v>
      </c>
      <c r="J1176" s="1978" t="str">
        <f>'Part VIII-Threshold Criteria'!J82</f>
        <v>Budgeting, Avoiding Identity Theft</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c r="A1177" s="1976"/>
      <c r="B1177" s="1977" t="s">
        <v>1752</v>
      </c>
      <c r="C1177" s="1872" t="s">
        <v>3607</v>
      </c>
      <c r="E1177" s="1866"/>
      <c r="F1177" s="1866"/>
      <c r="G1177" s="1866"/>
      <c r="H1177" s="1629"/>
      <c r="I1177" s="478" t="s">
        <v>2725</v>
      </c>
      <c r="J1177" s="1978">
        <f>'Part VIII-Threshold Criteria'!J83</f>
        <v>0</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2382</v>
      </c>
      <c r="C1178" s="1872" t="s">
        <v>3935</v>
      </c>
      <c r="E1178" s="1866"/>
      <c r="I1178" s="478" t="s">
        <v>2725</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3592</v>
      </c>
      <c r="D1179" s="1872"/>
      <c r="E1179" s="1866"/>
      <c r="J1179" s="478"/>
      <c r="K1179" s="478"/>
      <c r="L1179" s="478"/>
      <c r="M1179" s="478"/>
      <c r="N1179" s="478"/>
      <c r="O1179" s="478"/>
      <c r="P1179" s="478"/>
      <c r="Q1179" s="478"/>
    </row>
    <row r="1180" spans="1:17">
      <c r="A1180" s="1976"/>
      <c r="B1180" s="1156" t="s">
        <v>3926</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3781</v>
      </c>
      <c r="D1181" s="1873"/>
      <c r="E1181" s="1873"/>
      <c r="F1181" s="1873"/>
      <c r="G1181" s="1873"/>
      <c r="H1181" s="1872"/>
      <c r="I1181" s="1934"/>
      <c r="J1181" s="1934"/>
      <c r="K1181" s="1937" t="s">
        <v>1881</v>
      </c>
      <c r="L1181" s="1836"/>
      <c r="M1181" s="1836"/>
      <c r="N1181" s="1836"/>
      <c r="O1181" s="1836"/>
      <c r="P1181" s="1836"/>
      <c r="Q1181" s="1836"/>
    </row>
    <row r="1182" spans="1:17" ht="112.5">
      <c r="A1182" s="1936" t="str">
        <f>'Part VIII-Threshold Criteria'!A88</f>
        <v>Applicant has met Threshold by agreeing that all selcted services will meet QAP policies.</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2671</v>
      </c>
      <c r="C1184" s="1819"/>
      <c r="D1184" s="1939"/>
      <c r="E1184" s="1939"/>
      <c r="F1184" s="1939"/>
      <c r="G1184" s="1939"/>
      <c r="H1184" s="1939"/>
      <c r="I1184" s="1939"/>
      <c r="J1184" s="1939"/>
      <c r="K1184" s="1939"/>
      <c r="O1184" s="1935" t="s">
        <v>1882</v>
      </c>
      <c r="P1184" s="1844">
        <f>'Part VIII-Threshold Criteria'!P90</f>
        <v>0</v>
      </c>
      <c r="Q1184" s="1844">
        <f>'Part VIII-Threshold Criteria'!Q90</f>
        <v>0</v>
      </c>
    </row>
    <row r="1186" spans="1:17">
      <c r="A1186" s="1975" t="s">
        <v>2000</v>
      </c>
      <c r="B1186" s="1156" t="s">
        <v>2477</v>
      </c>
      <c r="D1186" s="1901"/>
      <c r="E1186" s="1901"/>
      <c r="F1186" s="1901"/>
      <c r="G1186" s="1901"/>
      <c r="H1186" s="1901"/>
      <c r="I1186" s="1629"/>
      <c r="J1186" s="1629"/>
      <c r="K1186" s="1629"/>
      <c r="L1186" s="1977" t="s">
        <v>2000</v>
      </c>
      <c r="M1186" s="1933" t="str">
        <f>'Part VIII-Threshold Criteria'!M92</f>
        <v>Real Property Research Group</v>
      </c>
      <c r="N1186" s="1933">
        <f>'Part VIII-Threshold Criteria'!N92</f>
        <v>0</v>
      </c>
      <c r="O1186" s="1933">
        <f>'Part VIII-Threshold Criteria'!O92</f>
        <v>0</v>
      </c>
      <c r="P1186" s="1629">
        <f>'Part VIII-Threshold Criteria'!P92</f>
        <v>0</v>
      </c>
      <c r="Q1186" s="1942">
        <f>'Part VIII-Threshold Criteria'!Q92</f>
        <v>0</v>
      </c>
    </row>
    <row r="1187" spans="1:17">
      <c r="A1187" s="1975" t="s">
        <v>2002</v>
      </c>
      <c r="B1187" s="478" t="s">
        <v>2053</v>
      </c>
      <c r="D1187" s="1901"/>
      <c r="E1187" s="1901"/>
      <c r="F1187" s="1901"/>
      <c r="L1187" s="1977" t="s">
        <v>2002</v>
      </c>
      <c r="M1187" s="1933" t="str">
        <f>'Part VIII-Threshold Criteria'!M93</f>
        <v>16 units a month. Fully leased in 5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2899</v>
      </c>
      <c r="D1188" s="1901"/>
      <c r="E1188" s="1901"/>
      <c r="F1188" s="1901"/>
      <c r="L1188" s="1977" t="s">
        <v>757</v>
      </c>
      <c r="M1188" s="1979">
        <f>'Part VIII-Threshold Criteria'!M94</f>
        <v>0.96099999999999997</v>
      </c>
      <c r="N1188" s="1979">
        <f>'Part VIII-Threshold Criteria'!N94</f>
        <v>0</v>
      </c>
      <c r="O1188" s="1979">
        <f>'Part VIII-Threshold Criteria'!O94</f>
        <v>0</v>
      </c>
      <c r="P1188" s="1980">
        <f>'Part VIII-Threshold Criteria'!P94</f>
        <v>0</v>
      </c>
      <c r="Q1188" s="1942">
        <f>'Part VIII-Threshold Criteria'!Q94</f>
        <v>0</v>
      </c>
    </row>
    <row r="1189" spans="1:17">
      <c r="A1189" s="1975" t="s">
        <v>2132</v>
      </c>
      <c r="B1189" s="478" t="s">
        <v>3928</v>
      </c>
      <c r="D1189" s="1901"/>
      <c r="E1189" s="1901"/>
      <c r="F1189" s="1901"/>
      <c r="L1189" s="1977" t="s">
        <v>3929</v>
      </c>
      <c r="M1189" s="1981">
        <f>'Part VIII-Threshold Criteria'!M95</f>
        <v>2.9000000000000001E-2</v>
      </c>
      <c r="N1189" s="1979"/>
      <c r="O1189" s="1982" t="s">
        <v>4179</v>
      </c>
      <c r="P1189" s="1983">
        <f>'Part VIII-Threshold Criteria'!P95</f>
        <v>1.2E-2</v>
      </c>
      <c r="Q1189" s="1942">
        <f>'Part VIII-Threshold Criteria'!Q95</f>
        <v>0</v>
      </c>
    </row>
    <row r="1190" spans="1:17">
      <c r="A1190" s="1973" t="s">
        <v>1748</v>
      </c>
      <c r="B1190" s="1961" t="s">
        <v>3927</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2395</v>
      </c>
      <c r="E1191" s="1872" t="s">
        <v>623</v>
      </c>
      <c r="F1191" s="1872"/>
      <c r="H1191" s="478"/>
      <c r="I1191" s="1934" t="s">
        <v>2395</v>
      </c>
      <c r="J1191" s="1872" t="s">
        <v>623</v>
      </c>
      <c r="K1191" s="1872"/>
      <c r="M1191" s="478"/>
      <c r="N1191" s="1934" t="s">
        <v>2395</v>
      </c>
      <c r="O1191" s="1872" t="s">
        <v>623</v>
      </c>
      <c r="P1191" s="1872"/>
      <c r="Q1191" s="1977"/>
    </row>
    <row r="1192" spans="1:17">
      <c r="C1192" s="1977" t="s">
        <v>1750</v>
      </c>
      <c r="D1192" s="1942" t="str">
        <f>'Part VIII-Threshold Criteria'!D98</f>
        <v>2007-507</v>
      </c>
      <c r="E1192" s="1933" t="str">
        <f>'Part VIII-Threshold Criteria'!E98</f>
        <v>Avalon</v>
      </c>
      <c r="F1192" s="1933">
        <f>'Part VIII-Threshold Criteria'!F98</f>
        <v>0</v>
      </c>
      <c r="G1192" s="1933">
        <f>'Part VIII-Threshold Criteria'!G98</f>
        <v>0</v>
      </c>
      <c r="H1192" s="1977" t="s">
        <v>1752</v>
      </c>
      <c r="I1192" s="1942" t="str">
        <f>'Part VIII-Threshold Criteria'!I98</f>
        <v>1994-012</v>
      </c>
      <c r="J1192" s="1933" t="str">
        <f>'Part VIII-Threshold Criteria'!J98</f>
        <v>Liberty Gardens</v>
      </c>
      <c r="K1192" s="1933">
        <f>'Part VIII-Threshold Criteria'!K98</f>
        <v>0</v>
      </c>
      <c r="L1192" s="1933">
        <f>'Part VIII-Threshold Criteria'!L98</f>
        <v>0</v>
      </c>
      <c r="M1192" s="1977" t="s">
        <v>1561</v>
      </c>
      <c r="N1192" s="1942" t="str">
        <f>'Part VIII-Threshold Criteria'!N98</f>
        <v>2000-055</v>
      </c>
      <c r="O1192" s="1933" t="str">
        <f>'Part VIII-Threshold Criteria'!O98</f>
        <v>Springfield Crossing</v>
      </c>
      <c r="P1192" s="1933">
        <f>'Part VIII-Threshold Criteria'!P98</f>
        <v>0</v>
      </c>
      <c r="Q1192" s="1933">
        <f>'Part VIII-Threshold Criteria'!Q98</f>
        <v>0</v>
      </c>
    </row>
    <row r="1193" spans="1:17">
      <c r="C1193" s="1977" t="s">
        <v>1751</v>
      </c>
      <c r="D1193" s="1942" t="str">
        <f>'Part VIII-Threshold Criteria'!D99</f>
        <v>2001-523</v>
      </c>
      <c r="E1193" s="1933" t="str">
        <f>'Part VIII-Threshold Criteria'!E99</f>
        <v>Johnston Mill Lofts</v>
      </c>
      <c r="F1193" s="1933">
        <f>'Part VIII-Threshold Criteria'!F99</f>
        <v>0</v>
      </c>
      <c r="G1193" s="1933">
        <f>'Part VIII-Threshold Criteria'!G99</f>
        <v>0</v>
      </c>
      <c r="H1193" s="1977" t="s">
        <v>2382</v>
      </c>
      <c r="I1193" s="1942" t="str">
        <f>'Part VIII-Threshold Criteria'!I99</f>
        <v>2007-504</v>
      </c>
      <c r="J1193" s="1933" t="str">
        <f>'Part VIII-Threshold Criteria'!J99</f>
        <v>Lumpkin Park</v>
      </c>
      <c r="K1193" s="1933">
        <f>'Part VIII-Threshold Criteria'!K99</f>
        <v>0</v>
      </c>
      <c r="L1193" s="1933">
        <f>'Part VIII-Threshold Criteria'!L99</f>
        <v>0</v>
      </c>
      <c r="M1193" s="1977" t="s">
        <v>1562</v>
      </c>
      <c r="N1193" s="1942" t="str">
        <f>'Part VIII-Threshold Criteria'!N99</f>
        <v>2006-042</v>
      </c>
      <c r="O1193" s="1933" t="str">
        <f>'Part VIII-Threshold Criteria'!O99</f>
        <v>Ashley  Station</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2528</v>
      </c>
    </row>
    <row r="1196" spans="1:17" ht="12.75" customHeight="1">
      <c r="A1196" s="1973" t="s">
        <v>1963</v>
      </c>
      <c r="B1196" s="1936" t="s">
        <v>3639</v>
      </c>
      <c r="C1196" s="1936"/>
      <c r="D1196" s="1936"/>
      <c r="E1196" s="1936"/>
      <c r="F1196" s="1936"/>
      <c r="G1196" s="1936"/>
      <c r="H1196" s="1936"/>
      <c r="I1196" s="1936"/>
      <c r="J1196" s="1936"/>
      <c r="K1196" s="1936"/>
      <c r="L1196" s="1936"/>
      <c r="M1196" s="1936"/>
      <c r="N1196" s="1936"/>
      <c r="O1196" s="1936"/>
      <c r="P1196" s="1987" t="s">
        <v>1963</v>
      </c>
      <c r="Q1196" s="1988">
        <f>'Part VIII-Threshold Criteria'!Q102</f>
        <v>0</v>
      </c>
    </row>
    <row r="1197" spans="1:17" ht="12.75" customHeight="1">
      <c r="A1197" s="1973" t="s">
        <v>3393</v>
      </c>
      <c r="B1197" s="1936" t="s">
        <v>2750</v>
      </c>
      <c r="C1197" s="1936"/>
      <c r="D1197" s="1936"/>
      <c r="E1197" s="1936"/>
      <c r="F1197" s="1936"/>
      <c r="G1197" s="1936"/>
      <c r="H1197" s="1936"/>
      <c r="I1197" s="1936"/>
      <c r="J1197" s="1936"/>
      <c r="K1197" s="1936"/>
      <c r="L1197" s="1936"/>
      <c r="M1197" s="1936"/>
      <c r="N1197" s="1936"/>
      <c r="O1197" s="1936"/>
      <c r="P1197" s="1987" t="s">
        <v>3393</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3394</v>
      </c>
      <c r="B1199" s="1961" t="s">
        <v>3640</v>
      </c>
      <c r="C1199" s="1953"/>
      <c r="D1199" s="1953"/>
      <c r="E1199" s="1953"/>
      <c r="F1199" s="1953"/>
      <c r="G1199" s="1953"/>
      <c r="H1199" s="1953"/>
      <c r="I1199" s="1953"/>
      <c r="J1199" s="1953"/>
      <c r="K1199" s="1953"/>
      <c r="L1199" s="1989"/>
      <c r="M1199" s="1953"/>
      <c r="N1199" s="1985"/>
      <c r="O1199" s="1953"/>
      <c r="P1199" s="1977" t="s">
        <v>3394</v>
      </c>
      <c r="Q1199" s="1988">
        <f>'Part VIII-Threshold Criteria'!Q105</f>
        <v>0</v>
      </c>
    </row>
    <row r="1200" spans="1:17">
      <c r="B1200" s="1873" t="s">
        <v>3781</v>
      </c>
      <c r="D1200" s="1873"/>
      <c r="E1200" s="1873"/>
      <c r="F1200" s="1873"/>
      <c r="G1200" s="1873"/>
      <c r="H1200" s="1872"/>
      <c r="I1200" s="1934"/>
      <c r="J1200" s="1934"/>
      <c r="K1200" s="1934"/>
      <c r="L1200" s="1836"/>
      <c r="M1200" s="1836"/>
      <c r="N1200" s="1836"/>
      <c r="O1200" s="1836"/>
      <c r="P1200" s="1836"/>
      <c r="Q1200" s="1836"/>
    </row>
    <row r="1201" spans="1:17" ht="409.5">
      <c r="A1201" s="1936" t="str">
        <f>'Part VIII-Threshold Criteria'!A107</f>
        <v>Applicant has met Threshold because all costs directly associated with developing unrestricted units for this project are covered by conventional or unrestricted financing sources. The total unrestricted financing sources is $3,364,044 which is 20.90% of the total development costs.  There are 17 unrestricted units in this project which is 20.24% of the total units.  The percentage of unrestricted and conventional financing sources to total development costs is greater than the percentage of market rate units to total units.  Applicant has also met Threshold by providing a Market Study that adheres to all requirements of the 2018 Market Study Manual. There are not more than two DCA funded projects in the PMA which have physical occupancy rates of less than 90% and which compete for the same tenant base as Grayling Place.   There are no capture rates over 55% for either a specific bedroom type or market segement.  See market study in TAB 5.  Other LIHTC projects in the PMA are Arbor Pointe III 2010-025,  Arbor Point 2007-025 and Columbus Commons 2014-015. Only the market rate units at Columbus Commons are included in the market study as the remaining units are deeply subsidized.</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1881</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2672</v>
      </c>
      <c r="C1204" s="1819"/>
      <c r="D1204" s="1939"/>
      <c r="E1204" s="1939"/>
      <c r="F1204" s="1939"/>
      <c r="G1204" s="1939"/>
      <c r="H1204" s="1939"/>
      <c r="I1204" s="1939"/>
      <c r="J1204" s="1939"/>
      <c r="K1204" s="1939"/>
      <c r="L1204" s="1939"/>
      <c r="M1204" s="1939"/>
      <c r="O1204" s="1935" t="s">
        <v>1882</v>
      </c>
      <c r="P1204" s="1844">
        <f>'Part VIII-Threshold Criteria'!P110</f>
        <v>0</v>
      </c>
      <c r="Q1204" s="1844">
        <f>'Part VIII-Threshold Criteria'!Q110</f>
        <v>0</v>
      </c>
    </row>
    <row r="1206" spans="1:17">
      <c r="A1206" s="1975" t="s">
        <v>2000</v>
      </c>
      <c r="B1206" s="478" t="s">
        <v>498</v>
      </c>
      <c r="C1206" s="478"/>
      <c r="E1206" s="478"/>
      <c r="F1206" s="478"/>
      <c r="G1206" s="478"/>
      <c r="H1206" s="478"/>
      <c r="I1206" s="478"/>
      <c r="J1206" s="478"/>
      <c r="K1206" s="478"/>
      <c r="L1206" s="478"/>
      <c r="M1206" s="478"/>
      <c r="O1206" s="1977" t="s">
        <v>2000</v>
      </c>
      <c r="P1206" s="1942" t="str">
        <f>'Part VIII-Threshold Criteria'!P112</f>
        <v>No</v>
      </c>
      <c r="Q1206" s="1942">
        <f>'Part VIII-Threshold Criteria'!Q112</f>
        <v>0</v>
      </c>
    </row>
    <row r="1207" spans="1:17">
      <c r="A1207" s="1975" t="s">
        <v>2002</v>
      </c>
      <c r="B1207" s="478" t="s">
        <v>1316</v>
      </c>
      <c r="C1207" s="478"/>
      <c r="E1207" s="478"/>
      <c r="F1207" s="478"/>
      <c r="G1207" s="478"/>
      <c r="H1207" s="478"/>
      <c r="I1207" s="478"/>
      <c r="J1207" s="478"/>
      <c r="K1207" s="478"/>
      <c r="L1207" s="1872"/>
      <c r="M1207" s="1872"/>
      <c r="O1207" s="1977" t="s">
        <v>2002</v>
      </c>
      <c r="P1207" s="1942" t="str">
        <f>'Part VIII-Threshold Criteria'!P113</f>
        <v>No</v>
      </c>
      <c r="Q1207" s="1942">
        <f>'Part VIII-Threshold Criteria'!Q113</f>
        <v>0</v>
      </c>
    </row>
    <row r="1208" spans="1:17">
      <c r="A1208" s="478"/>
      <c r="C1208" s="478" t="s">
        <v>559</v>
      </c>
      <c r="E1208" s="1629"/>
      <c r="F1208" s="1629"/>
      <c r="G1208" s="1629"/>
      <c r="H1208" s="1629"/>
      <c r="I1208" s="1629"/>
      <c r="L1208" s="1977" t="s">
        <v>560</v>
      </c>
      <c r="M1208" s="1933">
        <f>'Part VIII-Threshold Criteria'!M114</f>
        <v>0</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3495</v>
      </c>
      <c r="D1209" s="1990"/>
      <c r="E1209" s="1990"/>
      <c r="F1209" s="1990"/>
      <c r="G1209" s="1990"/>
      <c r="H1209" s="1990"/>
      <c r="I1209" s="1990"/>
      <c r="J1209" s="1990"/>
      <c r="K1209" s="1990"/>
      <c r="L1209" s="1990"/>
      <c r="M1209" s="1990"/>
      <c r="O1209" s="1987" t="s">
        <v>1750</v>
      </c>
      <c r="P1209" s="1942">
        <f>'Part VIII-Threshold Criteria'!P115</f>
        <v>0</v>
      </c>
      <c r="Q1209" s="1942">
        <f>'Part VIII-Threshold Criteria'!Q115</f>
        <v>0</v>
      </c>
    </row>
    <row r="1210" spans="1:17">
      <c r="A1210" s="1934"/>
      <c r="B1210" s="1977" t="s">
        <v>1751</v>
      </c>
      <c r="C1210" s="1872" t="s">
        <v>3496</v>
      </c>
      <c r="D1210" s="1990"/>
      <c r="E1210" s="1990"/>
      <c r="F1210" s="1990"/>
      <c r="G1210" s="1990"/>
      <c r="H1210" s="1990"/>
      <c r="I1210" s="1990"/>
      <c r="J1210" s="1990"/>
      <c r="K1210" s="1990"/>
      <c r="L1210" s="1990"/>
      <c r="M1210" s="1990"/>
      <c r="O1210" s="1977" t="s">
        <v>1751</v>
      </c>
      <c r="P1210" s="1942">
        <f>'Part VIII-Threshold Criteria'!P116</f>
        <v>0</v>
      </c>
      <c r="Q1210" s="1942">
        <f>'Part VIII-Threshold Criteria'!Q116</f>
        <v>0</v>
      </c>
    </row>
    <row r="1211" spans="1:17">
      <c r="A1211" s="1934"/>
      <c r="B1211" s="1987" t="s">
        <v>1752</v>
      </c>
      <c r="C1211" s="1872" t="s">
        <v>2900</v>
      </c>
      <c r="D1211" s="1872"/>
      <c r="E1211" s="1872"/>
      <c r="F1211" s="1872"/>
      <c r="G1211" s="1872"/>
      <c r="H1211" s="1872"/>
      <c r="I1211" s="1872"/>
      <c r="J1211" s="1872"/>
      <c r="K1211" s="1872"/>
      <c r="L1211" s="1872"/>
      <c r="M1211" s="1874"/>
      <c r="O1211" s="1987" t="s">
        <v>1752</v>
      </c>
      <c r="P1211" s="1942">
        <f>'Part VIII-Threshold Criteria'!P117</f>
        <v>0</v>
      </c>
      <c r="Q1211" s="1942">
        <f>'Part VIII-Threshold Criteria'!Q117</f>
        <v>0</v>
      </c>
    </row>
    <row r="1212" spans="1:17" ht="12.75" customHeight="1">
      <c r="A1212" s="1991"/>
      <c r="B1212" s="1987" t="s">
        <v>2382</v>
      </c>
      <c r="C1212" s="1936" t="s">
        <v>2707</v>
      </c>
      <c r="D1212" s="1936"/>
      <c r="E1212" s="1936"/>
      <c r="F1212" s="1936"/>
      <c r="G1212" s="1936"/>
      <c r="H1212" s="1936"/>
      <c r="I1212" s="1936"/>
      <c r="J1212" s="1936"/>
      <c r="K1212" s="1936"/>
      <c r="L1212" s="1936"/>
      <c r="M1212" s="1936"/>
      <c r="N1212" s="1936"/>
      <c r="O1212" s="1987" t="s">
        <v>2382</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f>'Part VIII-Threshold Criteria'!P119</f>
        <v>0</v>
      </c>
      <c r="Q1213" s="1942">
        <f>'Part VIII-Threshold Criteria'!Q119</f>
        <v>0</v>
      </c>
    </row>
    <row r="1214" spans="1:17">
      <c r="A1214" s="1975" t="s">
        <v>2132</v>
      </c>
      <c r="B1214" s="478" t="s">
        <v>1440</v>
      </c>
      <c r="D1214" s="478"/>
      <c r="E1214" s="478"/>
      <c r="G1214" s="478"/>
      <c r="I1214" s="478"/>
      <c r="K1214" s="478"/>
      <c r="L1214" s="1872"/>
      <c r="M1214" s="1872"/>
      <c r="N1214" s="1872"/>
      <c r="O1214" s="1977" t="s">
        <v>2132</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No</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No</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3781</v>
      </c>
      <c r="D1218" s="1873"/>
      <c r="E1218" s="1873"/>
      <c r="F1218" s="1873"/>
      <c r="G1218" s="1873"/>
      <c r="H1218" s="1872"/>
      <c r="I1218" s="1934"/>
      <c r="J1218" s="1934"/>
      <c r="K1218" s="1934"/>
      <c r="L1218" s="1836"/>
      <c r="M1218" s="1836"/>
      <c r="N1218" s="1836"/>
      <c r="O1218" s="1836"/>
      <c r="P1218" s="1836"/>
      <c r="Q1218" s="1836"/>
    </row>
    <row r="1219" spans="1:17" ht="157.5">
      <c r="A1219" s="1936" t="str">
        <f>'Part VIII-Threshold Criteria'!A125</f>
        <v>This application does not require an appraisal because there is not an identity of interest between the buyer and seller of the project.</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1881</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2673</v>
      </c>
      <c r="C1222" s="1872"/>
      <c r="D1222" s="1939"/>
      <c r="E1222" s="1939"/>
      <c r="F1222" s="1939"/>
      <c r="G1222" s="1939"/>
      <c r="H1222" s="1939"/>
      <c r="I1222" s="1939"/>
      <c r="J1222" s="1939"/>
      <c r="K1222" s="1939"/>
      <c r="L1222" s="1939"/>
      <c r="M1222" s="1939"/>
      <c r="O1222" s="1935" t="s">
        <v>1882</v>
      </c>
      <c r="P1222" s="1844">
        <f>'Part VIII-Threshold Criteria'!P128</f>
        <v>0</v>
      </c>
      <c r="Q1222" s="1844">
        <f>'Part VIII-Threshold Criteria'!Q128</f>
        <v>0</v>
      </c>
    </row>
    <row r="1224" spans="1:17">
      <c r="A1224" s="1975" t="s">
        <v>2000</v>
      </c>
      <c r="B1224" s="478" t="s">
        <v>3663</v>
      </c>
      <c r="D1224" s="1901"/>
      <c r="E1224" s="1901"/>
      <c r="F1224" s="1901"/>
      <c r="G1224" s="1901"/>
      <c r="H1224" s="1901"/>
      <c r="I1224" s="1629"/>
      <c r="J1224" s="1629"/>
      <c r="K1224" s="1977" t="s">
        <v>2000</v>
      </c>
      <c r="L1224" s="1844" t="str">
        <f>'Part VIII-Threshold Criteria'!L130</f>
        <v>United Consulting</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2002</v>
      </c>
      <c r="B1225" s="478" t="s">
        <v>1550</v>
      </c>
      <c r="D1225" s="1901"/>
      <c r="E1225" s="1901"/>
      <c r="F1225" s="1901"/>
      <c r="G1225" s="1901"/>
      <c r="H1225" s="1901"/>
      <c r="I1225" s="1629"/>
      <c r="J1225" s="1629"/>
      <c r="K1225" s="1901"/>
      <c r="L1225" s="1866"/>
      <c r="O1225" s="1977" t="s">
        <v>2002</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2706</v>
      </c>
      <c r="E1227" s="1901"/>
      <c r="F1227" s="1901"/>
      <c r="G1227" s="1901"/>
      <c r="H1227" s="1901"/>
      <c r="I1227" s="1629"/>
      <c r="J1227" s="1629"/>
      <c r="K1227" s="1977" t="s">
        <v>1750</v>
      </c>
      <c r="L1227" s="1844" t="str">
        <f>'Part VIII-Threshold Criteria'!L133</f>
        <v>United Consulting</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3497</v>
      </c>
      <c r="E1228" s="1629"/>
      <c r="F1228" s="1629"/>
      <c r="G1228" s="1629"/>
      <c r="H1228" s="478"/>
      <c r="I1228" s="1629"/>
      <c r="J1228" s="1629"/>
      <c r="K1228" s="1901"/>
      <c r="L1228" s="1866"/>
      <c r="M1228" s="1866"/>
      <c r="O1228" s="1977" t="s">
        <v>1751</v>
      </c>
      <c r="P1228" s="1942">
        <f>'Part VIII-Threshold Criteria'!P134</f>
        <v>70.069999999999993</v>
      </c>
      <c r="Q1228" s="1942">
        <f>'Part VIII-Threshold Criteria'!Q134</f>
        <v>0</v>
      </c>
    </row>
    <row r="1229" spans="1:17">
      <c r="A1229" s="1855"/>
      <c r="B1229" s="1977" t="s">
        <v>1752</v>
      </c>
      <c r="C1229" s="478" t="s">
        <v>4166</v>
      </c>
      <c r="E1229" s="1629"/>
      <c r="F1229" s="1629"/>
      <c r="G1229" s="1629"/>
      <c r="H1229" s="478"/>
      <c r="I1229" s="1629"/>
      <c r="J1229" s="1629"/>
      <c r="K1229" s="1901"/>
      <c r="L1229" s="1866"/>
      <c r="M1229" s="1866"/>
      <c r="N1229" s="1866"/>
      <c r="O1229" s="1866"/>
    </row>
    <row r="1230" spans="1:17" ht="135">
      <c r="A1230" s="1836"/>
      <c r="B1230" s="1977"/>
      <c r="C1230" s="1901" t="str">
        <f>'Part VIII-Threshold Criteria'!C136</f>
        <v>One major roadway, one military airport and one civil airport were identified within the prescribed distances from the Project Site.</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2132</v>
      </c>
      <c r="B1231" s="478" t="s">
        <v>1272</v>
      </c>
      <c r="D1231" s="1901"/>
      <c r="E1231" s="1901"/>
      <c r="F1231" s="1901"/>
      <c r="G1231" s="1901"/>
      <c r="H1231" s="1901"/>
      <c r="I1231" s="1629"/>
      <c r="J1231" s="1629"/>
      <c r="K1231" s="1901"/>
      <c r="L1231" s="1866"/>
      <c r="M1231" s="1866"/>
      <c r="N1231" s="1866"/>
      <c r="O1231" s="1977" t="s">
        <v>2132</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2650</v>
      </c>
      <c r="E1234" s="1977" t="s">
        <v>2452</v>
      </c>
      <c r="F1234" s="478" t="s">
        <v>2651</v>
      </c>
      <c r="G1234" s="1629"/>
      <c r="H1234" s="478"/>
      <c r="I1234" s="1629"/>
      <c r="J1234" s="1629"/>
      <c r="K1234" s="1901"/>
      <c r="L1234" s="1866"/>
      <c r="M1234" s="1866"/>
      <c r="O1234" s="1977" t="s">
        <v>2452</v>
      </c>
      <c r="P1234" s="1992">
        <f>'Part VIII-Threshold Criteria'!P140</f>
        <v>0</v>
      </c>
      <c r="Q1234" s="1992">
        <f>'Part VIII-Threshold Criteria'!Q140</f>
        <v>0</v>
      </c>
    </row>
    <row r="1235" spans="1:17">
      <c r="A1235" s="1975"/>
      <c r="B1235" s="1977"/>
      <c r="E1235" s="1977" t="s">
        <v>2453</v>
      </c>
      <c r="F1235" s="478" t="s">
        <v>2652</v>
      </c>
      <c r="G1235" s="1629"/>
      <c r="H1235" s="478"/>
      <c r="I1235" s="1629"/>
      <c r="J1235" s="1629"/>
      <c r="K1235" s="1901"/>
      <c r="L1235" s="1866"/>
      <c r="M1235" s="1866"/>
      <c r="O1235" s="1977" t="s">
        <v>2453</v>
      </c>
      <c r="P1235" s="1942" t="str">
        <f>'Part VIII-Threshold Criteria'!P141</f>
        <v>No</v>
      </c>
      <c r="Q1235" s="1942">
        <f>'Part VIII-Threshold Criteria'!Q141</f>
        <v>0</v>
      </c>
    </row>
    <row r="1236" spans="1:17">
      <c r="A1236" s="1975"/>
      <c r="B1236" s="1977"/>
      <c r="E1236" s="1977" t="s">
        <v>2454</v>
      </c>
      <c r="F1236" s="478" t="s">
        <v>2653</v>
      </c>
      <c r="G1236" s="1629"/>
      <c r="H1236" s="478"/>
      <c r="I1236" s="1629"/>
      <c r="J1236" s="1629"/>
      <c r="K1236" s="1901"/>
      <c r="L1236" s="1866"/>
      <c r="M1236" s="1866"/>
      <c r="O1236" s="1977" t="s">
        <v>2454</v>
      </c>
      <c r="P1236" s="1942" t="str">
        <f>'Part VIII-Threshold Criteria'!P142</f>
        <v>No</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2650</v>
      </c>
      <c r="E1238" s="1977" t="s">
        <v>2452</v>
      </c>
      <c r="F1238" s="478" t="s">
        <v>2654</v>
      </c>
      <c r="G1238" s="1629"/>
      <c r="H1238" s="478"/>
      <c r="I1238" s="1629"/>
      <c r="J1238" s="1629"/>
      <c r="K1238" s="1901"/>
      <c r="L1238" s="1866"/>
      <c r="O1238" s="1977" t="s">
        <v>2452</v>
      </c>
      <c r="P1238" s="1992">
        <f>'Part VIII-Threshold Criteria'!P144</f>
        <v>0</v>
      </c>
      <c r="Q1238" s="1992">
        <f>'Part VIII-Threshold Criteria'!Q144</f>
        <v>0</v>
      </c>
    </row>
    <row r="1239" spans="1:17">
      <c r="A1239" s="1975"/>
      <c r="B1239" s="1977"/>
      <c r="E1239" s="1977" t="s">
        <v>2453</v>
      </c>
      <c r="F1239" s="478" t="s">
        <v>2655</v>
      </c>
      <c r="G1239" s="1629"/>
      <c r="H1239" s="478"/>
      <c r="I1239" s="1629"/>
      <c r="J1239" s="1629"/>
      <c r="O1239" s="1977" t="s">
        <v>2453</v>
      </c>
      <c r="P1239" s="1942" t="str">
        <f>'Part VIII-Threshold Criteria'!P145</f>
        <v>No</v>
      </c>
      <c r="Q1239" s="1942">
        <f>'Part VIII-Threshold Criteria'!Q145</f>
        <v>0</v>
      </c>
    </row>
    <row r="1240" spans="1:17">
      <c r="A1240" s="1975"/>
      <c r="B1240" s="1977"/>
      <c r="E1240" s="1977" t="s">
        <v>2454</v>
      </c>
      <c r="F1240" s="478" t="s">
        <v>2653</v>
      </c>
      <c r="G1240" s="1629"/>
      <c r="H1240" s="478"/>
      <c r="I1240" s="1629"/>
      <c r="J1240" s="1629"/>
      <c r="O1240" s="1977" t="s">
        <v>2454</v>
      </c>
      <c r="P1240" s="1942" t="str">
        <f>'Part VIII-Threshold Criteria'!P146</f>
        <v>No</v>
      </c>
      <c r="Q1240" s="1942">
        <f>'Part VIII-Threshold Criteria'!Q146</f>
        <v>0</v>
      </c>
    </row>
    <row r="1241" spans="1:17">
      <c r="A1241" s="478"/>
      <c r="B1241" s="1977" t="s">
        <v>2382</v>
      </c>
      <c r="C1241" s="478" t="s">
        <v>2656</v>
      </c>
      <c r="E1241" s="1901"/>
      <c r="F1241" s="1901"/>
      <c r="G1241" s="1901"/>
      <c r="H1241" s="1901"/>
      <c r="I1241" s="1629"/>
      <c r="J1241" s="1629"/>
      <c r="O1241" s="1977" t="s">
        <v>2382</v>
      </c>
      <c r="P1241" s="1942" t="str">
        <f>'Part VIII-Threshold Criteria'!P147</f>
        <v>No</v>
      </c>
      <c r="Q1241" s="1942">
        <f>'Part VIII-Threshold Criteria'!Q147</f>
        <v>0</v>
      </c>
    </row>
    <row r="1242" spans="1:17">
      <c r="A1242" s="1975" t="s">
        <v>1748</v>
      </c>
      <c r="B1242" s="1872" t="s">
        <v>2431</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2512</v>
      </c>
      <c r="E1243" s="1901"/>
      <c r="F1243" s="1942" t="str">
        <f>'Part VIII-Threshold Criteria'!F149</f>
        <v>No</v>
      </c>
      <c r="G1243" s="1942">
        <f>'Part VIII-Threshold Criteria'!G149</f>
        <v>0</v>
      </c>
      <c r="H1243" s="1977" t="s">
        <v>1561</v>
      </c>
      <c r="I1243" s="1156" t="s">
        <v>2658</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2823</v>
      </c>
      <c r="E1244" s="1901"/>
      <c r="F1244" s="1942" t="str">
        <f>'Part VIII-Threshold Criteria'!F150</f>
        <v>Yes</v>
      </c>
      <c r="G1244" s="1942">
        <f>'Part VIII-Threshold Criteria'!G150</f>
        <v>0</v>
      </c>
      <c r="H1244" s="1977" t="s">
        <v>1562</v>
      </c>
      <c r="I1244" s="1156" t="s">
        <v>2659</v>
      </c>
      <c r="L1244" s="1942" t="str">
        <f>'Part VIII-Threshold Criteria'!L150</f>
        <v>Yes</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2657</v>
      </c>
      <c r="E1245" s="1901"/>
      <c r="F1245" s="1942" t="str">
        <f>'Part VIII-Threshold Criteria'!F151</f>
        <v>No</v>
      </c>
      <c r="G1245" s="1942">
        <f>'Part VIII-Threshold Criteria'!G151</f>
        <v>0</v>
      </c>
      <c r="H1245" s="1977" t="s">
        <v>99</v>
      </c>
      <c r="I1245" s="1156" t="s">
        <v>3876</v>
      </c>
      <c r="L1245" s="1942" t="str">
        <f>'Part VIII-Threshold Criteria'!L151</f>
        <v>No</v>
      </c>
      <c r="M1245" s="1942">
        <f>'Part VIII-Threshold Criteria'!M151</f>
        <v>0</v>
      </c>
      <c r="N1245" s="1977" t="s">
        <v>2825</v>
      </c>
      <c r="O1245" s="478" t="s">
        <v>1565</v>
      </c>
      <c r="P1245" s="1942" t="str">
        <f>'Part VIII-Threshold Criteria'!P151</f>
        <v>No</v>
      </c>
      <c r="Q1245" s="1942">
        <f>'Part VIII-Threshold Criteria'!Q151</f>
        <v>0</v>
      </c>
    </row>
    <row r="1246" spans="1:17">
      <c r="A1246" s="478"/>
      <c r="B1246" s="1977" t="s">
        <v>2382</v>
      </c>
      <c r="C1246" s="478" t="s">
        <v>2826</v>
      </c>
      <c r="E1246" s="1901"/>
      <c r="F1246" s="1942" t="str">
        <f>'Part VIII-Threshold Criteria'!F152</f>
        <v>No</v>
      </c>
      <c r="G1246" s="1942">
        <f>'Part VIII-Threshold Criteria'!G152</f>
        <v>0</v>
      </c>
      <c r="H1246" s="1977" t="s">
        <v>516</v>
      </c>
      <c r="I1246" s="478" t="s">
        <v>2822</v>
      </c>
      <c r="L1246" s="1942" t="str">
        <f>'Part VIII-Threshold Criteria'!L152</f>
        <v>No</v>
      </c>
      <c r="M1246" s="1942">
        <f>'Part VIII-Threshold Criteria'!M152</f>
        <v>0</v>
      </c>
      <c r="O1246" s="1977"/>
    </row>
    <row r="1247" spans="1:17">
      <c r="A1247" s="478"/>
      <c r="B1247" s="1977" t="s">
        <v>2914</v>
      </c>
      <c r="C1247" s="478" t="s">
        <v>2824</v>
      </c>
      <c r="E1247" s="1901"/>
      <c r="F1247" s="1901"/>
      <c r="G1247" s="1901"/>
      <c r="H1247" s="1901"/>
      <c r="I1247" s="1901"/>
      <c r="J1247" s="1901"/>
      <c r="K1247" s="1901"/>
      <c r="L1247" s="1901"/>
      <c r="M1247" s="478"/>
      <c r="O1247" s="1977"/>
      <c r="P1247" s="1977"/>
    </row>
    <row r="1248" spans="1:17" ht="22.5">
      <c r="A1248" s="478"/>
      <c r="C1248" s="1901" t="str">
        <f>'Part VIII-Threshold Criteria'!C154</f>
        <v>Lead in Soils - Yes</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3595</v>
      </c>
      <c r="D1249" s="1901"/>
      <c r="E1249" s="1901"/>
      <c r="F1249" s="1901"/>
      <c r="G1249" s="1901"/>
      <c r="H1249" s="1901"/>
      <c r="I1249" s="1629"/>
      <c r="J1249" s="1629"/>
      <c r="K1249" s="1901"/>
      <c r="L1249" s="1901"/>
      <c r="M1249" s="1866"/>
    </row>
    <row r="1250" spans="1:17">
      <c r="A1250" s="1629"/>
      <c r="B1250" s="1977" t="s">
        <v>1750</v>
      </c>
      <c r="C1250" s="478" t="s">
        <v>2827</v>
      </c>
      <c r="E1250" s="1901"/>
      <c r="F1250" s="1901"/>
      <c r="G1250" s="1901"/>
      <c r="H1250" s="1901"/>
      <c r="O1250" s="1977" t="s">
        <v>1750</v>
      </c>
      <c r="P1250" s="1942">
        <f>'Part VIII-Threshold Criteria'!P156</f>
        <v>0</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f>'Part VIII-Threshold Criteria'!P157</f>
        <v>0</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f>'Part VIII-Threshold Criteria'!P158</f>
        <v>0</v>
      </c>
      <c r="Q1252" s="1942">
        <f>'Part VIII-Threshold Criteria'!Q158</f>
        <v>0</v>
      </c>
    </row>
    <row r="1253" spans="1:17">
      <c r="A1253" s="1975" t="s">
        <v>1963</v>
      </c>
      <c r="B1253" s="478" t="s">
        <v>1766</v>
      </c>
      <c r="D1253" s="1901"/>
      <c r="E1253" s="1901"/>
      <c r="F1253" s="1901"/>
      <c r="G1253" s="1901"/>
      <c r="H1253" s="1901"/>
      <c r="I1253" s="1629"/>
      <c r="J1253" s="1629"/>
      <c r="K1253" s="1901"/>
      <c r="L1253" s="1901"/>
      <c r="M1253" s="1866"/>
      <c r="O1253" s="1977" t="s">
        <v>1963</v>
      </c>
      <c r="P1253" s="1942">
        <f>'Part VIII-Threshold Criteria'!P159</f>
        <v>0</v>
      </c>
      <c r="Q1253" s="1942">
        <f>'Part VIII-Threshold Criteria'!Q159</f>
        <v>0</v>
      </c>
    </row>
    <row r="1254" spans="1:17">
      <c r="A1254" s="1993" t="s">
        <v>3487</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3393</v>
      </c>
      <c r="B1255" s="1936" t="s">
        <v>4800</v>
      </c>
      <c r="C1255" s="1936"/>
      <c r="D1255" s="1936"/>
      <c r="E1255" s="1936"/>
      <c r="F1255" s="1936"/>
      <c r="G1255" s="1936"/>
      <c r="H1255" s="1936"/>
      <c r="I1255" s="1936"/>
      <c r="J1255" s="1936"/>
      <c r="K1255" s="1936"/>
      <c r="L1255" s="1936"/>
      <c r="M1255" s="1987" t="s">
        <v>3393</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3394</v>
      </c>
      <c r="B1257" s="1872" t="s">
        <v>1427</v>
      </c>
      <c r="C1257" s="1629"/>
      <c r="D1257" s="1990"/>
      <c r="E1257" s="1990"/>
      <c r="F1257" s="1990"/>
      <c r="G1257" s="1828"/>
      <c r="H1257" s="1828"/>
      <c r="I1257" s="1872"/>
      <c r="J1257" s="1629"/>
      <c r="K1257" s="1828"/>
      <c r="L1257" s="1828"/>
      <c r="M1257" s="1828"/>
      <c r="N1257" s="1629"/>
      <c r="O1257" s="1977" t="s">
        <v>3394</v>
      </c>
      <c r="P1257" s="1942">
        <f>'Part VIII-Threshold Criteria'!P163</f>
        <v>0</v>
      </c>
      <c r="Q1257" s="1942">
        <f>'Part VIII-Threshold Criteria'!Q163</f>
        <v>0</v>
      </c>
    </row>
    <row r="1258" spans="1:17">
      <c r="B1258" s="1873" t="s">
        <v>3781</v>
      </c>
      <c r="D1258" s="1873"/>
      <c r="E1258" s="1873"/>
      <c r="F1258" s="1873"/>
      <c r="G1258" s="1873"/>
      <c r="H1258" s="1872"/>
      <c r="I1258" s="1934"/>
      <c r="J1258" s="1934"/>
      <c r="K1258" s="1934"/>
      <c r="L1258" s="1836"/>
      <c r="M1258" s="1836"/>
      <c r="N1258" s="1836"/>
      <c r="O1258" s="1836"/>
      <c r="P1258" s="1836"/>
      <c r="Q1258" s="1836"/>
    </row>
    <row r="1259" spans="1:17" ht="409.5">
      <c r="A1259" s="1936" t="str">
        <f>'Part VIII-Threshold Criteria'!A165</f>
        <v xml:space="preserve">Applicant has met Threshold by providing a Phase I Environmental Report that adheres to all requriements in the 2018 Environmental Manual.  The Phase I Report can be found in TAB 7.  Because of a previously existing structure, minimal amounts of lead in soils were found and mitigation costs of $12,880  are included in the budget.  Because of a major roadway, a military airport and a civil airport all within the prescribed distances from the site, the Phase I Report includes a Noise Assessment Report and a Noise Attenuation Plan located in Appendi F.   See Tab 44 for a letter from the project architect verifying the building materials used in the proposed construction that are sufficient to aid in mitigating the indoor DNL to below 45 dB at the Project Site.  There are no HOME funds in this project, therefore, F., G., H., I. and J. above were left blank.    </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1881</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2674</v>
      </c>
      <c r="C1264" s="1819"/>
      <c r="D1264" s="1939"/>
      <c r="E1264" s="1939"/>
      <c r="F1264" s="1939"/>
      <c r="G1264" s="1939"/>
      <c r="H1264" s="1939"/>
      <c r="I1264" s="1939"/>
      <c r="J1264" s="1939"/>
      <c r="K1264" s="1939"/>
      <c r="O1264" s="1935" t="s">
        <v>1882</v>
      </c>
      <c r="P1264" s="1844">
        <f>'Part VIII-Threshold Criteria'!P170</f>
        <v>0</v>
      </c>
      <c r="Q1264" s="1844">
        <f>'Part VIII-Threshold Criteria'!Q170</f>
        <v>0</v>
      </c>
    </row>
    <row r="1265" spans="1:17">
      <c r="A1265" s="1975" t="s">
        <v>2000</v>
      </c>
      <c r="B1265" s="478" t="s">
        <v>4548</v>
      </c>
      <c r="D1265" s="478"/>
      <c r="E1265" s="478"/>
      <c r="F1265" s="478"/>
      <c r="G1265" s="478"/>
      <c r="I1265" s="478" t="s">
        <v>2727</v>
      </c>
      <c r="K1265" s="1995">
        <f>'Part VIII-Threshold Criteria'!K171</f>
        <v>43707</v>
      </c>
      <c r="L1265" s="1995">
        <f>'Part VIII-Threshold Criteria'!L171</f>
        <v>0</v>
      </c>
      <c r="N1265" s="478"/>
      <c r="O1265" s="1977" t="s">
        <v>2000</v>
      </c>
      <c r="P1265" s="1942" t="str">
        <f>'Part VIII-Threshold Criteria'!P171</f>
        <v>Yes</v>
      </c>
      <c r="Q1265" s="1942">
        <f>'Part VIII-Threshold Criteria'!Q171</f>
        <v>0</v>
      </c>
    </row>
    <row r="1266" spans="1:17">
      <c r="A1266" s="1975" t="s">
        <v>2002</v>
      </c>
      <c r="B1266" s="1961" t="s">
        <v>151</v>
      </c>
      <c r="D1266" s="1961"/>
      <c r="E1266" s="1961"/>
      <c r="F1266" s="1961"/>
      <c r="G1266" s="1961"/>
      <c r="H1266" s="1961"/>
      <c r="M1266" s="1977" t="s">
        <v>2002</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MHL, Inc.</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2132</v>
      </c>
      <c r="B1268" s="1961" t="s">
        <v>2902</v>
      </c>
      <c r="D1268" s="1961"/>
      <c r="E1268" s="1961"/>
      <c r="F1268" s="1961"/>
      <c r="G1268" s="1961"/>
      <c r="H1268" s="1961"/>
      <c r="J1268" s="1977"/>
      <c r="K1268" s="1977"/>
      <c r="L1268" s="1977"/>
      <c r="M1268" s="1977"/>
      <c r="N1268" s="1977"/>
      <c r="O1268" s="1977" t="s">
        <v>2132</v>
      </c>
      <c r="P1268" s="1942" t="str">
        <f>'Part VIII-Threshold Criteria'!P174</f>
        <v>No</v>
      </c>
      <c r="Q1268" s="1942">
        <f>'Part VIII-Threshold Criteria'!Q174</f>
        <v>0</v>
      </c>
    </row>
    <row r="1269" spans="1:17">
      <c r="B1269" s="1873" t="s">
        <v>3781</v>
      </c>
      <c r="D1269" s="1873"/>
      <c r="E1269" s="1873"/>
      <c r="F1269" s="1873"/>
      <c r="G1269" s="1873"/>
      <c r="H1269" s="1872"/>
      <c r="I1269" s="1934"/>
      <c r="J1269" s="1934"/>
      <c r="K1269" s="1934"/>
      <c r="L1269" s="1836"/>
      <c r="M1269" s="1836"/>
      <c r="N1269" s="1836"/>
      <c r="O1269" s="1836"/>
      <c r="P1269" s="1836"/>
      <c r="Q1269" s="1836"/>
    </row>
    <row r="1270" spans="1:17" ht="409.5">
      <c r="A1270" s="1936" t="str">
        <f>'Part VIII-Threshold Criteria'!A176</f>
        <v>Applicant has met Threshold by providing site control for this project through August 30, 2019.    The  Purchase &amp; Sale Agreement  calls for closing 180 days after a LIHTC award, but no later than 8/30/2019.  In addition, the Agreement has provisions for 4 thirty-day extensions, which gives us 6 months to close from DCA's award date.. The Purchase &amp; Sale  Agreement and legal description can be found in TAB 8.  For question d. above, Applicant answered "no" because there is no identity of interest between buyer and seller.  Kevin Buckner is president of MHL, Inc. as well as manager of the general partner entity for this project.</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1881</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2675</v>
      </c>
      <c r="C1274" s="1819"/>
      <c r="D1274" s="1939"/>
      <c r="E1274" s="1939"/>
      <c r="F1274" s="1939"/>
      <c r="G1274" s="1939"/>
      <c r="H1274" s="1939"/>
      <c r="I1274" s="1939"/>
      <c r="J1274" s="1939"/>
      <c r="K1274" s="1939"/>
      <c r="L1274" s="1939"/>
      <c r="M1274" s="1939"/>
      <c r="O1274" s="1935" t="s">
        <v>1882</v>
      </c>
      <c r="P1274" s="1844">
        <f>'Part VIII-Threshold Criteria'!P180</f>
        <v>0</v>
      </c>
      <c r="Q1274" s="1844">
        <f>'Part VIII-Threshold Criteria'!Q180</f>
        <v>0</v>
      </c>
    </row>
    <row r="1275" spans="1:17" ht="12.75" customHeight="1">
      <c r="A1275" s="1973" t="s">
        <v>2000</v>
      </c>
      <c r="B1275" s="1936" t="s">
        <v>3772</v>
      </c>
      <c r="C1275" s="1936"/>
      <c r="D1275" s="1936"/>
      <c r="E1275" s="1936"/>
      <c r="F1275" s="1936"/>
      <c r="G1275" s="1936"/>
      <c r="H1275" s="1936"/>
      <c r="I1275" s="1936"/>
      <c r="J1275" s="1936"/>
      <c r="K1275" s="1936"/>
      <c r="L1275" s="1936"/>
      <c r="M1275" s="1936"/>
      <c r="N1275" s="1936"/>
      <c r="O1275" s="1987" t="s">
        <v>2000</v>
      </c>
      <c r="P1275" s="1988" t="str">
        <f>'Part VIII-Threshold Criteria'!P181</f>
        <v>Yes</v>
      </c>
      <c r="Q1275" s="1988">
        <f>'Part VIII-Threshold Criteria'!Q181</f>
        <v>0</v>
      </c>
    </row>
    <row r="1276" spans="1:17" ht="12.75" customHeight="1">
      <c r="A1276" s="1973" t="s">
        <v>2002</v>
      </c>
      <c r="B1276" s="1936" t="s">
        <v>3664</v>
      </c>
      <c r="C1276" s="1936"/>
      <c r="D1276" s="1936"/>
      <c r="E1276" s="1936"/>
      <c r="F1276" s="1936"/>
      <c r="G1276" s="1936"/>
      <c r="H1276" s="1936"/>
      <c r="I1276" s="1936"/>
      <c r="J1276" s="1936"/>
      <c r="K1276" s="1936"/>
      <c r="L1276" s="1936"/>
      <c r="M1276" s="1936"/>
      <c r="N1276" s="1936"/>
      <c r="O1276" s="1987" t="s">
        <v>2002</v>
      </c>
      <c r="P1276" s="1988" t="str">
        <f>'Part VIII-Threshold Criteria'!P182</f>
        <v>N/Av</v>
      </c>
      <c r="Q1276" s="1988">
        <f>'Part VIII-Threshold Criteria'!Q182</f>
        <v>0</v>
      </c>
    </row>
    <row r="1277" spans="1:17" ht="12.75" customHeight="1">
      <c r="A1277" s="1973" t="s">
        <v>757</v>
      </c>
      <c r="B1277" s="1936" t="s">
        <v>3773</v>
      </c>
      <c r="C1277" s="1936"/>
      <c r="D1277" s="1936"/>
      <c r="E1277" s="1936"/>
      <c r="F1277" s="1936"/>
      <c r="G1277" s="1936"/>
      <c r="H1277" s="1936"/>
      <c r="I1277" s="1936"/>
      <c r="J1277" s="1936"/>
      <c r="K1277" s="1936"/>
      <c r="L1277" s="1936"/>
      <c r="M1277" s="1936"/>
      <c r="N1277" s="1936"/>
      <c r="O1277" s="1987" t="s">
        <v>757</v>
      </c>
      <c r="P1277" s="1988" t="str">
        <f>'Part VIII-Threshold Criteria'!P183</f>
        <v>N/Av</v>
      </c>
      <c r="Q1277" s="1988">
        <f>'Part VIII-Threshold Criteria'!Q183</f>
        <v>0</v>
      </c>
    </row>
    <row r="1278" spans="1:17" ht="12.75" customHeight="1">
      <c r="A1278" s="1973" t="s">
        <v>2132</v>
      </c>
      <c r="B1278" s="1936" t="s">
        <v>2660</v>
      </c>
      <c r="C1278" s="1936"/>
      <c r="D1278" s="1936"/>
      <c r="E1278" s="1936"/>
      <c r="F1278" s="1936"/>
      <c r="G1278" s="1936"/>
      <c r="H1278" s="1936"/>
      <c r="I1278" s="1936"/>
      <c r="J1278" s="1936"/>
      <c r="K1278" s="1936"/>
      <c r="L1278" s="1936"/>
      <c r="M1278" s="1936"/>
      <c r="N1278" s="1936"/>
      <c r="O1278" s="1987" t="s">
        <v>2132</v>
      </c>
      <c r="P1278" s="1988" t="str">
        <f>'Part VIII-Threshold Criteria'!P184</f>
        <v>N/Av</v>
      </c>
      <c r="Q1278" s="1988">
        <f>'Part VIII-Threshold Criteria'!Q184</f>
        <v>0</v>
      </c>
    </row>
    <row r="1279" spans="1:17">
      <c r="B1279" s="1873" t="s">
        <v>3781</v>
      </c>
      <c r="D1279" s="1873"/>
      <c r="E1279" s="1873"/>
      <c r="F1279" s="1873"/>
      <c r="G1279" s="1873"/>
      <c r="H1279" s="1872"/>
      <c r="I1279" s="1934"/>
      <c r="J1279" s="1934"/>
      <c r="K1279" s="1934"/>
      <c r="L1279" s="1836"/>
      <c r="M1279" s="1836"/>
      <c r="N1279" s="1836"/>
      <c r="O1279" s="1836"/>
      <c r="P1279" s="1836"/>
      <c r="Q1279" s="1836"/>
    </row>
    <row r="1280" spans="1:17" ht="180">
      <c r="A1280" s="1936" t="str">
        <f>'Part VIII-Threshold Criteria'!A186</f>
        <v xml:space="preserve">Applicant has met Threshold by specifying an entrance to the site  that is legally accessible by paved roads (Hilton Street).  See map in TAB 9.  </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1881</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2676</v>
      </c>
      <c r="C1284" s="1818"/>
      <c r="D1284" s="1818"/>
      <c r="O1284" s="1935" t="s">
        <v>1882</v>
      </c>
      <c r="P1284" s="1844">
        <f>'Part VIII-Threshold Criteria'!P190</f>
        <v>0</v>
      </c>
      <c r="Q1284" s="1844">
        <f>'Part VIII-Threshold Criteria'!Q190</f>
        <v>0</v>
      </c>
    </row>
    <row r="1285" spans="1:17">
      <c r="A1285" s="1973" t="s">
        <v>2000</v>
      </c>
      <c r="B1285" s="1996" t="s">
        <v>472</v>
      </c>
      <c r="D1285" s="1996"/>
      <c r="E1285" s="1996"/>
      <c r="F1285" s="1996"/>
      <c r="G1285" s="1996"/>
      <c r="H1285" s="1996"/>
      <c r="I1285" s="1996"/>
      <c r="J1285" s="1996"/>
      <c r="K1285" s="1996"/>
      <c r="L1285" s="1996"/>
      <c r="M1285" s="1996"/>
      <c r="O1285" s="1987" t="s">
        <v>2000</v>
      </c>
      <c r="P1285" s="1942" t="str">
        <f>'Part VIII-Threshold Criteria'!P191</f>
        <v>Yes</v>
      </c>
      <c r="Q1285" s="1942">
        <f>'Part VIII-Threshold Criteria'!Q191</f>
        <v>0</v>
      </c>
    </row>
    <row r="1286" spans="1:17">
      <c r="A1286" s="1973" t="s">
        <v>2002</v>
      </c>
      <c r="B1286" s="1996" t="s">
        <v>2661</v>
      </c>
      <c r="D1286" s="1996"/>
      <c r="E1286" s="1996"/>
      <c r="F1286" s="1996"/>
      <c r="G1286" s="1996"/>
      <c r="H1286" s="1996"/>
      <c r="I1286" s="1996"/>
      <c r="J1286" s="1996"/>
      <c r="K1286" s="1996"/>
      <c r="L1286" s="1996"/>
      <c r="M1286" s="1996"/>
      <c r="O1286" s="1987" t="s">
        <v>2002</v>
      </c>
      <c r="P1286" s="1942" t="str">
        <f>'Part VIII-Threshold Criteria'!P192</f>
        <v>Yes</v>
      </c>
      <c r="Q1286" s="1942">
        <f>'Part VIII-Threshold Criteria'!Q192</f>
        <v>0</v>
      </c>
    </row>
    <row r="1287" spans="1:17">
      <c r="A1287" s="1973" t="s">
        <v>757</v>
      </c>
      <c r="B1287" s="1996" t="s">
        <v>2662</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2650</v>
      </c>
      <c r="C1288" s="1936"/>
      <c r="D1288" s="1977" t="s">
        <v>1750</v>
      </c>
      <c r="E1288" s="1872" t="s">
        <v>2663</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4801</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3774</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2382</v>
      </c>
      <c r="E1291" s="1872" t="s">
        <v>2665</v>
      </c>
      <c r="G1291" s="1996"/>
      <c r="H1291" s="1996"/>
      <c r="I1291" s="1996"/>
      <c r="J1291" s="1996"/>
      <c r="K1291" s="1996"/>
      <c r="L1291" s="1996"/>
      <c r="M1291" s="1996"/>
      <c r="O1291" s="1997" t="s">
        <v>2382</v>
      </c>
      <c r="P1291" s="1942" t="str">
        <f>'Part VIII-Threshold Criteria'!P197</f>
        <v>Yes</v>
      </c>
      <c r="Q1291" s="1942">
        <f>'Part VIII-Threshold Criteria'!Q197</f>
        <v>0</v>
      </c>
    </row>
    <row r="1292" spans="1:17" ht="12.75" customHeight="1">
      <c r="A1292" s="1973"/>
      <c r="B1292" s="1953"/>
      <c r="C1292" s="1996"/>
      <c r="D1292" s="1987" t="s">
        <v>1561</v>
      </c>
      <c r="E1292" s="1936" t="s">
        <v>2666</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3930</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2132</v>
      </c>
      <c r="B1294" s="1936" t="s">
        <v>2667</v>
      </c>
      <c r="C1294" s="1936"/>
      <c r="D1294" s="1936"/>
      <c r="E1294" s="1936"/>
      <c r="F1294" s="1936"/>
      <c r="G1294" s="1936"/>
      <c r="H1294" s="1936"/>
      <c r="I1294" s="1936"/>
      <c r="J1294" s="1936"/>
      <c r="K1294" s="1936"/>
      <c r="L1294" s="1936"/>
      <c r="M1294" s="1936"/>
      <c r="N1294" s="1936"/>
      <c r="O1294" s="1987" t="s">
        <v>2132</v>
      </c>
      <c r="P1294" s="1988" t="str">
        <f>'Part VIII-Threshold Criteria'!P200</f>
        <v>Yes</v>
      </c>
      <c r="Q1294" s="1988">
        <f>'Part VIII-Threshold Criteria'!Q200</f>
        <v>0</v>
      </c>
    </row>
    <row r="1295" spans="1:17">
      <c r="A1295" s="1973" t="s">
        <v>1748</v>
      </c>
      <c r="B1295" s="1996" t="s">
        <v>2396</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3781</v>
      </c>
      <c r="D1296" s="1873"/>
      <c r="E1296" s="1873"/>
      <c r="F1296" s="1873"/>
      <c r="G1296" s="1873"/>
      <c r="H1296" s="1872"/>
      <c r="I1296" s="1934"/>
      <c r="J1296" s="1934"/>
      <c r="K1296" s="1934"/>
      <c r="L1296" s="1836"/>
      <c r="M1296" s="1836"/>
      <c r="N1296" s="1836"/>
      <c r="O1296" s="1836"/>
      <c r="P1296" s="1836"/>
      <c r="Q1296" s="1836"/>
    </row>
    <row r="1297" spans="1:17" ht="292.5">
      <c r="A1297" s="1936" t="str">
        <f>'Part VIII-Threshold Criteria'!A203</f>
        <v>Applicant has met Threshold because the site is currently zoned appropriately for multifamily development.  This site is zoned RMF2 (Residential Multifamily 2).  Zoning documentation and the Cover Sheet of the CSDP addressing zoning can be found  in TAB 10.</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1881</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2677</v>
      </c>
      <c r="C1301" s="1819"/>
      <c r="D1301" s="1939"/>
      <c r="E1301" s="1998"/>
      <c r="F1301" s="1998"/>
      <c r="G1301" s="1939"/>
      <c r="J1301" s="1936"/>
      <c r="K1301" s="1936"/>
      <c r="L1301" s="1936"/>
      <c r="M1301" s="1936"/>
      <c r="N1301" s="1936"/>
      <c r="O1301" s="1935" t="s">
        <v>1882</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&lt;&lt;Enter Provider Name Here&gt;&gt;</v>
      </c>
      <c r="K1302" s="1933">
        <f>'Part VIII-Threshold Criteria'!K208</f>
        <v>0</v>
      </c>
      <c r="L1302" s="1933">
        <f>'Part VIII-Threshold Criteria'!L208</f>
        <v>0</v>
      </c>
      <c r="M1302" s="1933">
        <f>'Part VIII-Threshold Criteria'!M208</f>
        <v>0</v>
      </c>
      <c r="N1302" s="1933">
        <f>'Part VIII-Threshold Criteria'!N208</f>
        <v>0</v>
      </c>
      <c r="O1302" s="1977" t="s">
        <v>1750</v>
      </c>
      <c r="P1302" s="1942" t="str">
        <f>'Part VIII-Threshold Criteria'!P208</f>
        <v>No</v>
      </c>
      <c r="Q1302" s="1942">
        <f>'Part VIII-Threshold Criteria'!Q208</f>
        <v>0</v>
      </c>
    </row>
    <row r="1303" spans="1:17">
      <c r="A1303" s="1855"/>
      <c r="B1303" s="1873" t="s">
        <v>3781</v>
      </c>
      <c r="C1303" s="1775"/>
      <c r="D1303" s="1775"/>
      <c r="E1303" s="1775"/>
      <c r="F1303" s="1775"/>
      <c r="H1303" s="1977" t="s">
        <v>1751</v>
      </c>
      <c r="I1303" s="478" t="s">
        <v>1608</v>
      </c>
      <c r="J1303" s="1933" t="str">
        <f>'Part VIII-Threshold Criteria'!J209</f>
        <v>Georgia Power</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91.25">
      <c r="A1304" s="1936" t="str">
        <f>'Part VIII-Threshold Criteria'!A210</f>
        <v>Applicant has met Threshold because operating utilities are available to the project. The project will not utilize gas service.  The electricity availability letter is in TAB 11.</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1881</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2678</v>
      </c>
      <c r="C1308" s="1818"/>
      <c r="D1308" s="1933"/>
      <c r="E1308" s="1933"/>
      <c r="F1308" s="1933"/>
      <c r="G1308" s="1939"/>
      <c r="H1308" s="1939"/>
      <c r="I1308" s="1939"/>
      <c r="J1308" s="1939"/>
      <c r="K1308" s="1939"/>
      <c r="L1308" s="1939"/>
      <c r="M1308" s="1939"/>
      <c r="O1308" s="1935" t="s">
        <v>1882</v>
      </c>
      <c r="P1308" s="1844">
        <f>'Part VIII-Threshold Criteria'!P214</f>
        <v>0</v>
      </c>
      <c r="Q1308" s="1844">
        <f>'Part VIII-Threshold Criteria'!Q214</f>
        <v>0</v>
      </c>
    </row>
    <row r="1310" spans="1:17">
      <c r="A1310" s="1973" t="s">
        <v>2000</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t="str">
        <f>'Part VIII-Threshold Criteria'!P217</f>
        <v>No</v>
      </c>
      <c r="Q1311" s="1942">
        <f>'Part VIII-Threshold Criteria'!Q217</f>
        <v>0</v>
      </c>
    </row>
    <row r="1312" spans="1:17" ht="12.75" customHeight="1">
      <c r="A1312" s="1973" t="s">
        <v>2002</v>
      </c>
      <c r="B1312" s="1936" t="s">
        <v>1864</v>
      </c>
      <c r="C1312" s="1936"/>
      <c r="D1312" s="1936"/>
      <c r="E1312" s="1936"/>
      <c r="F1312" s="1936"/>
      <c r="G1312" s="1936"/>
      <c r="H1312" s="1977" t="s">
        <v>1750</v>
      </c>
      <c r="I1312" s="478" t="s">
        <v>641</v>
      </c>
      <c r="J1312" s="1933" t="str">
        <f>'Part VIII-Threshold Criteria'!J218</f>
        <v>Columbus Water Works</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Columbus Water Works</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3937</v>
      </c>
      <c r="D1314" s="478"/>
      <c r="E1314" s="478"/>
      <c r="F1314" s="478"/>
      <c r="G1314" s="478"/>
      <c r="H1314" s="478"/>
      <c r="I1314" s="478"/>
      <c r="J1314" s="478"/>
      <c r="K1314" s="1629"/>
      <c r="L1314" s="478"/>
      <c r="M1314" s="478"/>
      <c r="O1314" s="1977" t="s">
        <v>757</v>
      </c>
      <c r="P1314" s="1942" t="str">
        <f>'Part VIII-Threshold Criteria'!P220</f>
        <v>No</v>
      </c>
      <c r="Q1314" s="1942">
        <f>'Part VIII-Threshold Criteria'!Q220</f>
        <v>0</v>
      </c>
    </row>
    <row r="1315" spans="1:17">
      <c r="A1315" s="1975" t="s">
        <v>2132</v>
      </c>
      <c r="B1315" s="478" t="s">
        <v>3938</v>
      </c>
      <c r="D1315" s="478"/>
      <c r="E1315" s="478"/>
      <c r="F1315" s="478"/>
      <c r="G1315" s="478"/>
      <c r="H1315" s="478"/>
      <c r="I1315" s="478"/>
      <c r="J1315" s="478"/>
      <c r="K1315" s="1629"/>
      <c r="L1315" s="478"/>
      <c r="M1315" s="478"/>
      <c r="O1315" s="1977" t="s">
        <v>2132</v>
      </c>
      <c r="P1315" s="1942" t="str">
        <f>'Part VIII-Threshold Criteria'!P221</f>
        <v>No</v>
      </c>
      <c r="Q1315" s="1942">
        <f>'Part VIII-Threshold Criteria'!Q221</f>
        <v>0</v>
      </c>
    </row>
    <row r="1316" spans="1:17">
      <c r="B1316" s="1873" t="s">
        <v>3781</v>
      </c>
      <c r="D1316" s="1873"/>
      <c r="E1316" s="1873"/>
      <c r="F1316" s="1873"/>
      <c r="G1316" s="1873"/>
      <c r="H1316" s="1872"/>
      <c r="I1316" s="1934"/>
      <c r="J1316" s="1934"/>
      <c r="K1316" s="1934"/>
      <c r="L1316" s="1836"/>
      <c r="M1316" s="1836"/>
      <c r="N1316" s="1836"/>
      <c r="O1316" s="1836"/>
      <c r="P1316" s="1836"/>
      <c r="Q1316" s="1836"/>
    </row>
    <row r="1317" spans="1:17" ht="409.5">
      <c r="A1317" s="1936" t="str">
        <f>'Part VIII-Threshold Criteria'!A223</f>
        <v>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1881</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2679</v>
      </c>
      <c r="C1321" s="1969"/>
      <c r="D1321" s="1939"/>
      <c r="E1321" s="1939"/>
      <c r="F1321" s="1939"/>
      <c r="G1321" s="1939"/>
      <c r="H1321" s="1939"/>
      <c r="I1321" s="1939"/>
      <c r="J1321" s="1939"/>
      <c r="K1321" s="1939"/>
      <c r="L1321" s="1939"/>
      <c r="M1321" s="1939"/>
      <c r="O1321" s="1935" t="s">
        <v>1882</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2000</v>
      </c>
      <c r="B1323" s="478" t="s">
        <v>4802</v>
      </c>
      <c r="D1323" s="1629"/>
      <c r="E1323" s="1629"/>
      <c r="F1323" s="1629"/>
      <c r="G1323" s="1629"/>
      <c r="H1323" s="1629"/>
      <c r="I1323" s="1629"/>
      <c r="J1323" s="1629"/>
      <c r="K1323" s="1629"/>
      <c r="L1323" s="1629"/>
      <c r="M1323" s="1629"/>
      <c r="O1323" s="1977" t="s">
        <v>2000</v>
      </c>
      <c r="P1323" s="1942" t="str">
        <f>'Part VIII-Threshold Criteria'!P229</f>
        <v>Agree</v>
      </c>
      <c r="Q1323" s="1942">
        <f>'Part VIII-Threshold Criteria'!Q229</f>
        <v>0</v>
      </c>
    </row>
    <row r="1324" spans="1:17">
      <c r="A1324" s="1975"/>
      <c r="B1324" s="1977" t="s">
        <v>1750</v>
      </c>
      <c r="C1324" s="478" t="s">
        <v>1947</v>
      </c>
      <c r="E1324" s="478"/>
      <c r="F1324" s="478"/>
      <c r="G1324" s="478"/>
      <c r="H1324" s="478"/>
      <c r="I1324" s="1629"/>
      <c r="J1324" s="1977" t="s">
        <v>1498</v>
      </c>
      <c r="K1324" s="1933" t="str">
        <f>'Part VIII-Threshold Criteria'!K230</f>
        <v>Building</v>
      </c>
      <c r="L1324" s="1933">
        <f>'Part VIII-Threshold Criteria'!L230</f>
        <v>0</v>
      </c>
      <c r="Q1324" s="1942">
        <f>'Part VIII-Threshold Criteria'!Q230</f>
        <v>0</v>
      </c>
    </row>
    <row r="1325" spans="1:17" ht="13.5">
      <c r="A1325" s="1975"/>
      <c r="B1325" s="1977" t="s">
        <v>1751</v>
      </c>
      <c r="C1325" s="1872" t="s">
        <v>2743</v>
      </c>
      <c r="E1325" s="1872"/>
      <c r="F1325" s="1872"/>
      <c r="G1325" s="1872"/>
      <c r="H1325" s="1872"/>
      <c r="I1325" s="1629"/>
      <c r="J1325" s="1977" t="s">
        <v>1499</v>
      </c>
      <c r="K1325" s="1933" t="str">
        <f>'Part VIII-Threshold Criteria'!K231</f>
        <v>Covered Porch</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2002</v>
      </c>
      <c r="B1327" s="478" t="s">
        <v>2527</v>
      </c>
      <c r="D1327" s="478"/>
      <c r="E1327" s="478"/>
      <c r="F1327" s="478"/>
      <c r="G1327" s="478"/>
      <c r="H1327" s="478"/>
      <c r="I1327" s="478"/>
      <c r="J1327" s="478"/>
      <c r="K1327" s="1629"/>
      <c r="L1327" s="1629"/>
      <c r="M1327" s="1629"/>
      <c r="N1327" s="1629"/>
      <c r="O1327" s="1977" t="s">
        <v>2002</v>
      </c>
      <c r="P1327" s="1942" t="str">
        <f>'Part VIII-Threshold Criteria'!P233</f>
        <v>Agree</v>
      </c>
      <c r="Q1327" s="1942">
        <f>'Part VIII-Threshold Criteria'!Q233</f>
        <v>0</v>
      </c>
    </row>
    <row r="1328" spans="1:17">
      <c r="A1328" s="1975"/>
      <c r="B1328" s="478" t="s">
        <v>4803</v>
      </c>
      <c r="D1328" s="478"/>
      <c r="E1328" s="478"/>
      <c r="F1328" s="478"/>
      <c r="G1328" s="478"/>
      <c r="H1328" s="478"/>
      <c r="I1328" s="478"/>
      <c r="J1328" s="478"/>
      <c r="K1328" s="1629"/>
      <c r="L1328" s="1629"/>
      <c r="M1328" s="1629"/>
      <c r="N1328" s="1629"/>
      <c r="O1328" s="1629"/>
      <c r="P1328" s="1999" t="s">
        <v>2</v>
      </c>
      <c r="Q1328" s="1999"/>
    </row>
    <row r="1329" spans="1:17">
      <c r="A1329" s="1975"/>
      <c r="C1329" s="478" t="s">
        <v>2745</v>
      </c>
      <c r="D1329" s="478"/>
      <c r="E1329" s="478"/>
      <c r="F1329" s="478"/>
      <c r="H1329" s="2001" t="s">
        <v>781</v>
      </c>
      <c r="I1329" s="1631" t="s">
        <v>782</v>
      </c>
      <c r="K1329" s="478" t="s">
        <v>2745</v>
      </c>
      <c r="M1329" s="1629"/>
      <c r="N1329" s="1629"/>
      <c r="O1329" s="2001"/>
      <c r="P1329" s="1689" t="s">
        <v>781</v>
      </c>
      <c r="Q1329" s="1631" t="s">
        <v>782</v>
      </c>
    </row>
    <row r="1330" spans="1:17" ht="33.75">
      <c r="A1330" s="1942"/>
      <c r="B1330" s="1977" t="s">
        <v>1750</v>
      </c>
      <c r="C1330" s="1936" t="str">
        <f>'Part VIII-Threshold Criteria'!C236</f>
        <v>Equipped Playground</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Fenced Community Garden</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33.75">
      <c r="A1331" s="1942"/>
      <c r="B1331" s="1977" t="s">
        <v>1751</v>
      </c>
      <c r="C1331" s="1936" t="str">
        <f>'Part VIII-Threshold Criteria'!C237</f>
        <v>Equipped Computer Room</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2382</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3489</v>
      </c>
      <c r="E1333" s="478"/>
      <c r="F1333" s="478"/>
      <c r="L1333" s="1629"/>
      <c r="M1333" s="1629"/>
      <c r="O1333" s="1977" t="s">
        <v>1750</v>
      </c>
      <c r="P1333" s="1942" t="str">
        <f>'Part VIII-Threshold Criteria'!P239</f>
        <v>Yes</v>
      </c>
      <c r="Q1333" s="1942">
        <f>'Part VIII-Threshold Criteria'!Q239</f>
        <v>0</v>
      </c>
    </row>
    <row r="1334" spans="1:17">
      <c r="B1334" s="1977" t="s">
        <v>1751</v>
      </c>
      <c r="C1334" s="1872" t="s">
        <v>2828</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2829</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2382</v>
      </c>
      <c r="C1336" s="1872" t="s">
        <v>2830</v>
      </c>
      <c r="E1336" s="1872"/>
      <c r="F1336" s="1872"/>
      <c r="G1336" s="1872"/>
      <c r="H1336" s="1872"/>
      <c r="I1336" s="1629"/>
      <c r="J1336" s="1629"/>
      <c r="K1336" s="1629"/>
      <c r="L1336" s="1629"/>
      <c r="M1336" s="1629"/>
      <c r="O1336" s="1977" t="s">
        <v>2382</v>
      </c>
      <c r="P1336" s="1942" t="str">
        <f>'Part VIII-Threshold Criteria'!P242</f>
        <v>Yes</v>
      </c>
      <c r="Q1336" s="1942">
        <f>'Part VIII-Threshold Criteria'!Q242</f>
        <v>0</v>
      </c>
    </row>
    <row r="1337" spans="1:17">
      <c r="A1337" s="1975"/>
      <c r="B1337" s="1977" t="s">
        <v>1561</v>
      </c>
      <c r="C1337" s="1872" t="s">
        <v>2831</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2819</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2820</v>
      </c>
      <c r="P1339" s="1942" t="str">
        <f>'Part VIII-Threshold Criteria'!P245</f>
        <v>No</v>
      </c>
      <c r="Q1339" s="1942">
        <f>'Part VIII-Threshold Criteria'!Q245</f>
        <v>0</v>
      </c>
    </row>
    <row r="1340" spans="1:17">
      <c r="A1340" s="1975" t="s">
        <v>2132</v>
      </c>
      <c r="B1340" s="478" t="s">
        <v>3689</v>
      </c>
      <c r="C1340" s="478"/>
      <c r="E1340" s="478"/>
      <c r="F1340" s="478"/>
      <c r="G1340" s="478"/>
      <c r="H1340" s="478"/>
      <c r="I1340" s="478"/>
      <c r="J1340" s="478"/>
      <c r="K1340" s="1629"/>
      <c r="L1340" s="478"/>
      <c r="M1340" s="478"/>
      <c r="O1340" s="1977" t="s">
        <v>2132</v>
      </c>
      <c r="P1340" s="1942" t="str">
        <f>'Part VIII-Threshold Criteria'!P246</f>
        <v>N/A</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f>'Part VIII-Threshold Criteria'!P247</f>
        <v>0</v>
      </c>
      <c r="Q1341" s="1942">
        <f>'Part VIII-Threshold Criteria'!Q247</f>
        <v>0</v>
      </c>
    </row>
    <row r="1342" spans="1:17">
      <c r="B1342" s="1977" t="s">
        <v>1751</v>
      </c>
      <c r="C1342" s="478" t="s">
        <v>3939</v>
      </c>
      <c r="E1342" s="1629"/>
      <c r="F1342" s="1629"/>
      <c r="G1342" s="1872"/>
      <c r="H1342" s="1872"/>
      <c r="I1342" s="1629"/>
      <c r="J1342" s="1872"/>
      <c r="K1342" s="1629"/>
      <c r="L1342" s="1872"/>
      <c r="M1342" s="1872"/>
      <c r="O1342" s="1977" t="s">
        <v>1751</v>
      </c>
      <c r="P1342" s="1942">
        <f>'Part VIII-Threshold Criteria'!P248</f>
        <v>0</v>
      </c>
      <c r="Q1342" s="1942">
        <f>'Part VIII-Threshold Criteria'!Q248</f>
        <v>0</v>
      </c>
    </row>
    <row r="1343" spans="1:17">
      <c r="B1343" s="1873" t="s">
        <v>3781</v>
      </c>
      <c r="D1343" s="1873"/>
      <c r="E1343" s="1873"/>
      <c r="F1343" s="1873"/>
      <c r="G1343" s="1873"/>
      <c r="H1343" s="1872"/>
      <c r="I1343" s="1934"/>
      <c r="J1343" s="1934"/>
      <c r="K1343" s="1934"/>
      <c r="L1343" s="1836"/>
      <c r="M1343" s="1836"/>
      <c r="N1343" s="1836"/>
      <c r="O1343" s="1836"/>
      <c r="P1343" s="1836"/>
      <c r="Q1343" s="1836"/>
    </row>
    <row r="1344" spans="1:17" ht="371.25">
      <c r="A1344" s="1936" t="str">
        <f>'Part VIII-Threshold Criteria'!A250</f>
        <v>Applicant has met Threshold because the project will include all required standard site amenities and additional amenities.  This is not a senior project, therefore, items in Section D were left blank.  The Site Information and Conceptual Site Development Plan found in TAB 15 includes the location of these amenities.</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1881</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2802</v>
      </c>
      <c r="B1348" s="1818" t="s">
        <v>2680</v>
      </c>
      <c r="C1348" s="1818"/>
      <c r="D1348" s="1933"/>
      <c r="E1348" s="1933"/>
      <c r="F1348" s="1933"/>
      <c r="G1348" s="1933"/>
      <c r="H1348" s="1939"/>
      <c r="I1348" s="1939"/>
      <c r="J1348" s="1939"/>
      <c r="K1348" s="1939"/>
      <c r="L1348" s="1906"/>
      <c r="M1348" s="1906"/>
      <c r="O1348" s="1935" t="s">
        <v>1882</v>
      </c>
      <c r="P1348" s="1844">
        <f>'Part VIII-Threshold Criteria'!P254</f>
        <v>0</v>
      </c>
      <c r="Q1348" s="1844">
        <f>'Part VIII-Threshold Criteria'!Q254</f>
        <v>0</v>
      </c>
    </row>
    <row r="1349" spans="1:17">
      <c r="L1349" s="1906"/>
      <c r="M1349" s="1906"/>
      <c r="N1349" s="1156"/>
    </row>
    <row r="1350" spans="1:17">
      <c r="A1350" s="1975" t="s">
        <v>2000</v>
      </c>
      <c r="B1350" s="478" t="s">
        <v>1280</v>
      </c>
      <c r="D1350" s="1629"/>
      <c r="E1350" s="478"/>
      <c r="F1350" s="478"/>
      <c r="J1350" s="1977" t="s">
        <v>2000</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2002</v>
      </c>
      <c r="B1351" s="478" t="s">
        <v>2832</v>
      </c>
      <c r="D1351" s="478"/>
      <c r="E1351" s="478"/>
      <c r="F1351" s="478"/>
      <c r="J1351" s="1977" t="s">
        <v>2002</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1961</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2561</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3788</v>
      </c>
      <c r="D1354" s="478"/>
      <c r="E1354" s="478"/>
      <c r="F1354" s="478"/>
      <c r="M1354" s="478"/>
      <c r="N1354" s="2002"/>
      <c r="O1354" s="1977" t="s">
        <v>757</v>
      </c>
      <c r="P1354" s="1942">
        <f>'Part VIII-Threshold Criteria'!P260</f>
        <v>0</v>
      </c>
      <c r="Q1354" s="1942">
        <f>'Part VIII-Threshold Criteria'!Q260</f>
        <v>0</v>
      </c>
    </row>
    <row r="1355" spans="1:17">
      <c r="A1355" s="1975"/>
      <c r="B1355" s="478" t="s">
        <v>3787</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2132</v>
      </c>
      <c r="B1356" s="478" t="s">
        <v>3940</v>
      </c>
      <c r="D1356" s="478"/>
      <c r="E1356" s="478"/>
      <c r="F1356" s="478"/>
      <c r="G1356" s="478"/>
      <c r="H1356" s="478"/>
      <c r="I1356" s="1629"/>
      <c r="J1356" s="1629"/>
      <c r="K1356" s="1629"/>
      <c r="M1356" s="478"/>
      <c r="N1356" s="2002"/>
      <c r="O1356" s="1977" t="s">
        <v>2132</v>
      </c>
      <c r="P1356" s="1942">
        <f>'Part VIII-Threshold Criteria'!P262</f>
        <v>0</v>
      </c>
      <c r="Q1356" s="1942">
        <f>'Part VIII-Threshold Criteria'!Q262</f>
        <v>0</v>
      </c>
    </row>
    <row r="1357" spans="1:17" ht="12.75" customHeight="1">
      <c r="A1357" s="1975"/>
      <c r="B1357" s="1936" t="s">
        <v>3789</v>
      </c>
      <c r="C1357" s="1936"/>
      <c r="D1357" s="1936"/>
      <c r="E1357" s="1936"/>
      <c r="F1357" s="1936"/>
      <c r="G1357" s="1936"/>
      <c r="H1357" s="1156" t="s">
        <v>4167</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4168</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4169</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4170</v>
      </c>
      <c r="K1360" s="1629"/>
      <c r="M1360" s="478"/>
      <c r="N1360" s="2002"/>
      <c r="O1360" s="1977" t="s">
        <v>2382</v>
      </c>
      <c r="P1360" s="1942">
        <f>'Part VIII-Threshold Criteria'!P266</f>
        <v>0</v>
      </c>
      <c r="Q1360" s="1942">
        <f>'Part VIII-Threshold Criteria'!Q266</f>
        <v>0</v>
      </c>
    </row>
    <row r="1361" spans="1:17" ht="12.75" customHeight="1">
      <c r="A1361" s="1973" t="s">
        <v>1748</v>
      </c>
      <c r="B1361" s="1936" t="s">
        <v>4804</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3781</v>
      </c>
      <c r="D1362" s="1873"/>
      <c r="E1362" s="1873"/>
      <c r="F1362" s="1873"/>
      <c r="G1362" s="1873"/>
      <c r="H1362" s="1872"/>
      <c r="I1362" s="1934"/>
      <c r="J1362" s="1934"/>
      <c r="K1362" s="1934"/>
      <c r="L1362" s="1836"/>
      <c r="M1362" s="1836"/>
      <c r="N1362" s="1836"/>
      <c r="O1362" s="1836"/>
      <c r="P1362" s="1836"/>
      <c r="Q1362" s="1836"/>
    </row>
    <row r="1363" spans="1:17" ht="56.25">
      <c r="A1363" s="1936" t="str">
        <f>'Part VIII-Threshold Criteria'!A269</f>
        <v>This project does not include rehabilitation.</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1881</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2268</v>
      </c>
      <c r="B1367" s="1818" t="s">
        <v>2681</v>
      </c>
      <c r="C1367" s="1818"/>
      <c r="D1367" s="1933"/>
      <c r="E1367" s="1933"/>
      <c r="F1367" s="1933"/>
      <c r="G1367" s="1933"/>
      <c r="H1367" s="1939"/>
      <c r="I1367" s="1939"/>
      <c r="J1367" s="1939"/>
      <c r="K1367" s="1939"/>
      <c r="L1367" s="1939"/>
      <c r="M1367" s="1939"/>
      <c r="O1367" s="1935" t="s">
        <v>1882</v>
      </c>
      <c r="P1367" s="1844">
        <f>'Part VIII-Threshold Criteria'!P273</f>
        <v>0</v>
      </c>
      <c r="Q1367" s="1844">
        <f>'Part VIII-Threshold Criteria'!Q273</f>
        <v>0</v>
      </c>
    </row>
    <row r="1369" spans="1:17" ht="12.75" customHeight="1">
      <c r="A1369" s="1973" t="s">
        <v>2000</v>
      </c>
      <c r="B1369" s="1936" t="s">
        <v>3942</v>
      </c>
      <c r="C1369" s="1936"/>
      <c r="D1369" s="1936"/>
      <c r="E1369" s="1936"/>
      <c r="F1369" s="1936"/>
      <c r="G1369" s="1936"/>
      <c r="H1369" s="1936"/>
      <c r="I1369" s="1936"/>
      <c r="J1369" s="1936"/>
      <c r="K1369" s="1936"/>
      <c r="L1369" s="1936"/>
      <c r="M1369" s="1936"/>
      <c r="N1369" s="1936"/>
      <c r="O1369" s="1987" t="s">
        <v>2000</v>
      </c>
      <c r="P1369" s="1988" t="str">
        <f>'Part VIII-Threshold Criteria'!P275</f>
        <v>Yes</v>
      </c>
      <c r="Q1369" s="1988">
        <f>'Part VIII-Threshold Criteria'!Q275</f>
        <v>0</v>
      </c>
    </row>
    <row r="1370" spans="1:17">
      <c r="A1370" s="1975"/>
      <c r="B1370" s="478" t="s">
        <v>3784</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2002</v>
      </c>
      <c r="B1371" s="478" t="s">
        <v>3785</v>
      </c>
      <c r="D1371" s="478"/>
      <c r="E1371" s="478"/>
      <c r="F1371" s="478"/>
      <c r="G1371" s="478"/>
      <c r="H1371" s="478"/>
      <c r="I1371" s="478"/>
      <c r="J1371" s="478"/>
      <c r="K1371" s="478"/>
      <c r="L1371" s="478"/>
      <c r="M1371" s="478"/>
      <c r="O1371" s="1977" t="s">
        <v>2002</v>
      </c>
      <c r="P1371" s="1942" t="str">
        <f>'Part VIII-Threshold Criteria'!P277</f>
        <v>Yes</v>
      </c>
      <c r="Q1371" s="1942">
        <f>'Part VIII-Threshold Criteria'!Q277</f>
        <v>0</v>
      </c>
    </row>
    <row r="1372" spans="1:17">
      <c r="A1372" s="1975" t="s">
        <v>757</v>
      </c>
      <c r="B1372" s="478" t="s">
        <v>4171</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3786</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2132</v>
      </c>
      <c r="B1374" s="478" t="s">
        <v>4172</v>
      </c>
      <c r="D1374" s="478"/>
      <c r="E1374" s="478"/>
      <c r="F1374" s="478"/>
      <c r="G1374" s="478"/>
      <c r="H1374" s="478"/>
      <c r="I1374" s="478"/>
      <c r="J1374" s="478"/>
      <c r="K1374" s="478"/>
      <c r="L1374" s="478"/>
      <c r="M1374" s="478"/>
      <c r="O1374" s="1977" t="s">
        <v>2132</v>
      </c>
      <c r="P1374" s="1942" t="str">
        <f>'Part VIII-Threshold Criteria'!P280</f>
        <v>Yes</v>
      </c>
      <c r="Q1374" s="1942">
        <f>'Part VIII-Threshold Criteria'!Q280</f>
        <v>0</v>
      </c>
    </row>
    <row r="1375" spans="1:17">
      <c r="B1375" s="1873" t="s">
        <v>3781</v>
      </c>
      <c r="D1375" s="1873"/>
      <c r="E1375" s="1873"/>
      <c r="F1375" s="1873"/>
      <c r="G1375" s="1873"/>
      <c r="H1375" s="1872"/>
      <c r="I1375" s="1934"/>
      <c r="J1375" s="1934"/>
      <c r="K1375" s="1934"/>
      <c r="L1375" s="1836"/>
      <c r="M1375" s="1836"/>
      <c r="N1375" s="1836"/>
      <c r="O1375" s="1836"/>
      <c r="P1375" s="1836"/>
      <c r="Q1375" s="1836"/>
    </row>
    <row r="1376" spans="1:17" ht="270">
      <c r="A1376" s="1936" t="str">
        <f>'Part VIII-Threshold Criteria'!A282</f>
        <v>Applicant has met Threshold because the Site Information and Conceptual Site Development Plan accurately addresses all requirements stated above and in the 2018 Architectural Manual.  The Plan can be found in TAB 15.</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1881</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4153</v>
      </c>
      <c r="B1379" s="1819" t="s">
        <v>2682</v>
      </c>
      <c r="C1379" s="1819"/>
      <c r="D1379" s="1939"/>
      <c r="E1379" s="1939"/>
      <c r="F1379" s="1939"/>
      <c r="G1379" s="1939"/>
      <c r="H1379" s="1939"/>
      <c r="I1379" s="1939"/>
      <c r="J1379" s="1939"/>
      <c r="K1379" s="1939"/>
      <c r="L1379" s="1939"/>
      <c r="M1379" s="1939"/>
      <c r="O1379" s="1935" t="s">
        <v>1882</v>
      </c>
      <c r="P1379" s="1844">
        <f>'Part VIII-Threshold Criteria'!P285</f>
        <v>0</v>
      </c>
      <c r="Q1379" s="1844">
        <f>'Part VIII-Threshold Criteria'!Q285</f>
        <v>0</v>
      </c>
    </row>
    <row r="1381" spans="1:17" ht="12.75" customHeight="1">
      <c r="A1381" s="1973" t="s">
        <v>2000</v>
      </c>
      <c r="B1381" s="1936" t="s">
        <v>2833</v>
      </c>
      <c r="C1381" s="1936"/>
      <c r="D1381" s="1936"/>
      <c r="E1381" s="1936"/>
      <c r="F1381" s="1936"/>
      <c r="G1381" s="1936"/>
      <c r="H1381" s="1936"/>
      <c r="I1381" s="1936"/>
      <c r="J1381" s="1936"/>
      <c r="K1381" s="1936"/>
      <c r="L1381" s="1936"/>
      <c r="M1381" s="1936"/>
      <c r="N1381" s="1936"/>
      <c r="O1381" s="1987" t="s">
        <v>2000</v>
      </c>
      <c r="P1381" s="1988" t="str">
        <f>'Part VIII-Threshold Criteria'!P287</f>
        <v>Agree</v>
      </c>
      <c r="Q1381" s="1988">
        <f>'Part VIII-Threshold Criteria'!Q287</f>
        <v>0</v>
      </c>
    </row>
    <row r="1382" spans="1:17" ht="12.75" customHeight="1">
      <c r="A1382" s="1973" t="s">
        <v>2002</v>
      </c>
      <c r="B1382" s="1936" t="s">
        <v>2834</v>
      </c>
      <c r="C1382" s="1936"/>
      <c r="D1382" s="1936"/>
      <c r="E1382" s="1936"/>
      <c r="F1382" s="1936"/>
      <c r="G1382" s="1936"/>
      <c r="H1382" s="1936"/>
      <c r="I1382" s="1936"/>
      <c r="J1382" s="1936"/>
      <c r="K1382" s="1936"/>
      <c r="L1382" s="1936"/>
      <c r="M1382" s="1936"/>
      <c r="N1382" s="1936"/>
      <c r="O1382" s="1987" t="s">
        <v>2002</v>
      </c>
      <c r="P1382" s="1988" t="str">
        <f>'Part VIII-Threshold Criteria'!P288</f>
        <v>Agree</v>
      </c>
      <c r="Q1382" s="1988">
        <f>'Part VIII-Threshold Criteria'!Q288</f>
        <v>0</v>
      </c>
    </row>
    <row r="1383" spans="1:17">
      <c r="B1383" s="1873" t="s">
        <v>3781</v>
      </c>
      <c r="D1383" s="1873"/>
      <c r="E1383" s="1873"/>
      <c r="F1383" s="1873"/>
      <c r="G1383" s="1873"/>
      <c r="H1383" s="1872"/>
      <c r="I1383" s="1934"/>
      <c r="J1383" s="1934"/>
      <c r="K1383" s="1934"/>
      <c r="L1383" s="1836"/>
      <c r="M1383" s="1836"/>
      <c r="N1383" s="1836"/>
      <c r="O1383" s="1836"/>
      <c r="P1383" s="1836"/>
      <c r="Q1383" s="1836"/>
    </row>
    <row r="1384" spans="1:17" ht="191.25">
      <c r="A1384" s="1936" t="str">
        <f>'Part VIII-Threshold Criteria'!A290</f>
        <v>Applicant has met Threshold because this project will achieve the minimum standards for efficiency and sustainable building practices as defined in the 2018 QAP.</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1881</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4154</v>
      </c>
      <c r="B1387" s="1819" t="s">
        <v>2683</v>
      </c>
      <c r="C1387" s="2003"/>
      <c r="D1387" s="2004"/>
      <c r="E1387" s="1939"/>
      <c r="F1387" s="1939"/>
      <c r="G1387" s="1939"/>
      <c r="H1387" s="1939"/>
      <c r="I1387" s="1939"/>
      <c r="J1387" s="1939"/>
      <c r="K1387" s="1939"/>
      <c r="L1387" s="1939"/>
      <c r="M1387" s="1939"/>
      <c r="O1387" s="1935" t="s">
        <v>1882</v>
      </c>
      <c r="P1387" s="1844">
        <f>'Part VIII-Threshold Criteria'!P293</f>
        <v>0</v>
      </c>
      <c r="Q1387" s="1844">
        <f>'Part VIII-Threshold Criteria'!Q293</f>
        <v>0</v>
      </c>
    </row>
    <row r="1388" spans="1:17">
      <c r="A1388" s="1860" t="s">
        <v>2000</v>
      </c>
      <c r="B1388" s="1819" t="s">
        <v>4805</v>
      </c>
    </row>
    <row r="1389" spans="1:17" ht="12.75" customHeight="1">
      <c r="A1389" s="1973"/>
      <c r="B1389" s="1987" t="s">
        <v>1750</v>
      </c>
      <c r="C1389" s="1936" t="s">
        <v>3944</v>
      </c>
      <c r="D1389" s="1936"/>
      <c r="E1389" s="1936"/>
      <c r="F1389" s="1936"/>
      <c r="G1389" s="1936"/>
      <c r="H1389" s="1936"/>
      <c r="I1389" s="1936"/>
      <c r="J1389" s="1936"/>
      <c r="K1389" s="1936"/>
      <c r="L1389" s="1936"/>
      <c r="M1389" s="1936"/>
      <c r="N1389" s="1936"/>
      <c r="O1389" s="1987" t="s">
        <v>2746</v>
      </c>
      <c r="P1389" s="1988" t="str">
        <f>'Part VIII-Threshold Criteria'!P295</f>
        <v>Yes</v>
      </c>
      <c r="Q1389" s="1988">
        <f>'Part VIII-Threshold Criteria'!Q295</f>
        <v>0</v>
      </c>
    </row>
    <row r="1390" spans="1:17" ht="12.75" customHeight="1">
      <c r="A1390" s="1973"/>
      <c r="B1390" s="1987" t="s">
        <v>1751</v>
      </c>
      <c r="C1390" s="1936" t="s">
        <v>3945</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3943</v>
      </c>
      <c r="D1391" s="1936"/>
      <c r="E1391" s="1936"/>
      <c r="F1391" s="1936"/>
      <c r="G1391" s="1936"/>
      <c r="H1391" s="1936"/>
      <c r="I1391" s="1936"/>
      <c r="J1391" s="1936"/>
      <c r="K1391" s="1936"/>
      <c r="L1391" s="1936"/>
      <c r="M1391" s="1936"/>
      <c r="N1391" s="1936"/>
      <c r="O1391" s="1987" t="s">
        <v>1752</v>
      </c>
      <c r="P1391" s="1988" t="str">
        <f>'Part VIII-Threshold Criteria'!P297</f>
        <v>No</v>
      </c>
      <c r="Q1391" s="1988">
        <f>'Part VIII-Threshold Criteria'!Q297</f>
        <v>0</v>
      </c>
    </row>
    <row r="1392" spans="1:17">
      <c r="A1392" s="1860" t="s">
        <v>2002</v>
      </c>
      <c r="B1392" s="1819" t="s">
        <v>3909</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4806</v>
      </c>
      <c r="D1393" s="1936"/>
      <c r="E1393" s="1936"/>
      <c r="F1393" s="1936"/>
      <c r="G1393" s="1936"/>
      <c r="H1393" s="1936"/>
      <c r="I1393" s="1961"/>
      <c r="J1393" s="1944" t="s">
        <v>3823</v>
      </c>
      <c r="K1393" s="1999"/>
      <c r="L1393" s="1999"/>
      <c r="M1393" s="2006" t="s">
        <v>3791</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3792</v>
      </c>
      <c r="N1394" s="1934" t="s">
        <v>3822</v>
      </c>
      <c r="O1394" s="1625"/>
      <c r="P1394" s="1647"/>
      <c r="Q1394" s="1625"/>
    </row>
    <row r="1395" spans="1:17">
      <c r="A1395" s="1628"/>
      <c r="B1395" s="1625"/>
      <c r="C1395" s="1936"/>
      <c r="D1395" s="1936"/>
      <c r="E1395" s="1936"/>
      <c r="F1395" s="1936"/>
      <c r="G1395" s="1936"/>
      <c r="H1395" s="1936"/>
      <c r="I1395" s="478" t="s">
        <v>4174</v>
      </c>
      <c r="J1395" s="1625"/>
      <c r="K1395" s="2007">
        <f>'Part VIII-Threshold Criteria'!K301</f>
        <v>5</v>
      </c>
      <c r="L1395" s="1626" t="str">
        <f>IF(K1395&lt;M1395,"Check!!!","")</f>
        <v/>
      </c>
      <c r="M1395" s="2008">
        <f>'Part VIII-Threshold Criteria'!M301</f>
        <v>5</v>
      </c>
      <c r="N1395" s="2009">
        <f>'DCA Underwriting Assumptions'!$Q$136</f>
        <v>0.05</v>
      </c>
      <c r="O1395" s="1977" t="s">
        <v>3665</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4807</v>
      </c>
      <c r="D1397" s="1936"/>
      <c r="E1397" s="1936"/>
      <c r="F1397" s="1936"/>
      <c r="G1397" s="1936"/>
      <c r="H1397" s="1936"/>
      <c r="I1397" s="2010" t="s">
        <v>4175</v>
      </c>
      <c r="J1397" s="1625"/>
      <c r="K1397" s="2007">
        <f>'Part VIII-Threshold Criteria'!K303</f>
        <v>2</v>
      </c>
      <c r="L1397" s="1626" t="str">
        <f>IF(K1397&lt;M1397,"Check!!!","")</f>
        <v/>
      </c>
      <c r="M1397" s="2008">
        <f>'Part VIII-Threshold Criteria'!M303</f>
        <v>2</v>
      </c>
      <c r="N1397" s="2009">
        <f>'DCA Underwriting Assumptions'!$Q$137</f>
        <v>0.4</v>
      </c>
      <c r="O1397" s="1977" t="s">
        <v>2134</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4808</v>
      </c>
      <c r="D1399" s="1936"/>
      <c r="E1399" s="1936"/>
      <c r="F1399" s="1936"/>
      <c r="G1399" s="1936"/>
      <c r="H1399" s="1936"/>
      <c r="I1399" s="478" t="s">
        <v>4176</v>
      </c>
      <c r="J1399" s="1625"/>
      <c r="K1399" s="2007">
        <f>'Part VIII-Threshold Criteria'!K305</f>
        <v>2</v>
      </c>
      <c r="L1399" s="1626" t="str">
        <f>IF(K1399&lt;M1399,"Check!!!","")</f>
        <v/>
      </c>
      <c r="M1399" s="2008">
        <f>'Part VIII-Threshold Criteria'!M305</f>
        <v>2</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3910</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3667</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3668</v>
      </c>
      <c r="C1404" s="1629"/>
      <c r="D1404" s="1961"/>
      <c r="E1404" s="1961"/>
      <c r="F1404" s="1961"/>
      <c r="G1404" s="1961"/>
      <c r="H1404" s="1961"/>
      <c r="I1404" s="1961" t="s">
        <v>3790</v>
      </c>
      <c r="J1404" s="1961"/>
      <c r="K1404" s="1961"/>
      <c r="L1404" s="1961" t="str">
        <f>'Part VIII-Threshold Criteria'!L310</f>
        <v>Zeffert and Associates</v>
      </c>
      <c r="M1404" s="1961">
        <f>'Part VIII-Threshold Criteria'!M310</f>
        <v>0</v>
      </c>
      <c r="N1404" s="1961">
        <f>'Part VIII-Threshold Criteria'!N310</f>
        <v>0</v>
      </c>
      <c r="O1404" s="1961"/>
      <c r="P1404" s="1961"/>
      <c r="Q1404" s="1961"/>
    </row>
    <row r="1405" spans="1:17" ht="12.75" customHeight="1">
      <c r="A1405" s="1953"/>
      <c r="B1405" s="1987" t="s">
        <v>1750</v>
      </c>
      <c r="C1405" s="1936" t="s">
        <v>3666</v>
      </c>
      <c r="D1405" s="1936"/>
      <c r="E1405" s="1936"/>
      <c r="F1405" s="1936"/>
      <c r="G1405" s="1936"/>
      <c r="H1405" s="1936"/>
      <c r="I1405" s="1936"/>
      <c r="J1405" s="1936"/>
      <c r="K1405" s="1936"/>
      <c r="L1405" s="1936"/>
      <c r="M1405" s="1936"/>
      <c r="N1405" s="1936"/>
      <c r="O1405" s="1987" t="s">
        <v>3671</v>
      </c>
      <c r="P1405" s="1988" t="str">
        <f>'Part VIII-Threshold Criteria'!P311</f>
        <v>Yes</v>
      </c>
      <c r="Q1405" s="1988">
        <f>'Part VIII-Threshold Criteria'!Q311</f>
        <v>0</v>
      </c>
    </row>
    <row r="1406" spans="1:17" ht="12.75" customHeight="1">
      <c r="A1406" s="1953"/>
      <c r="B1406" s="1987" t="s">
        <v>1751</v>
      </c>
      <c r="C1406" s="1936" t="s">
        <v>3711</v>
      </c>
      <c r="D1406" s="1936"/>
      <c r="E1406" s="1936"/>
      <c r="F1406" s="1936"/>
      <c r="G1406" s="1936"/>
      <c r="H1406" s="1936"/>
      <c r="I1406" s="1936"/>
      <c r="J1406" s="1936"/>
      <c r="K1406" s="1936"/>
      <c r="L1406" s="1936"/>
      <c r="M1406" s="1936"/>
      <c r="N1406" s="1936"/>
      <c r="O1406" s="1987" t="s">
        <v>3672</v>
      </c>
      <c r="P1406" s="1988" t="str">
        <f>'Part VIII-Threshold Criteria'!P312</f>
        <v>Yes</v>
      </c>
      <c r="Q1406" s="1988">
        <f>'Part VIII-Threshold Criteria'!Q312</f>
        <v>0</v>
      </c>
    </row>
    <row r="1407" spans="1:17" ht="12.75" customHeight="1">
      <c r="A1407" s="1953"/>
      <c r="B1407" s="1987" t="s">
        <v>1752</v>
      </c>
      <c r="C1407" s="1936" t="s">
        <v>3669</v>
      </c>
      <c r="D1407" s="1936"/>
      <c r="E1407" s="1936"/>
      <c r="F1407" s="1936"/>
      <c r="G1407" s="1936"/>
      <c r="H1407" s="1936"/>
      <c r="I1407" s="1936"/>
      <c r="J1407" s="1936"/>
      <c r="K1407" s="1936"/>
      <c r="L1407" s="1936"/>
      <c r="M1407" s="1936"/>
      <c r="N1407" s="1936"/>
      <c r="O1407" s="1987" t="s">
        <v>3673</v>
      </c>
      <c r="P1407" s="1988" t="str">
        <f>'Part VIII-Threshold Criteria'!P313</f>
        <v>Yes</v>
      </c>
      <c r="Q1407" s="1988">
        <f>'Part VIII-Threshold Criteria'!Q313</f>
        <v>0</v>
      </c>
    </row>
    <row r="1408" spans="1:17" ht="12.75" customHeight="1">
      <c r="A1408" s="1953"/>
      <c r="B1408" s="1987" t="s">
        <v>2382</v>
      </c>
      <c r="C1408" s="1936" t="s">
        <v>3670</v>
      </c>
      <c r="D1408" s="1936"/>
      <c r="E1408" s="1936"/>
      <c r="F1408" s="1936"/>
      <c r="G1408" s="1936"/>
      <c r="H1408" s="1936"/>
      <c r="I1408" s="1936"/>
      <c r="J1408" s="1936"/>
      <c r="K1408" s="1936"/>
      <c r="L1408" s="1936"/>
      <c r="M1408" s="1936"/>
      <c r="N1408" s="1936"/>
      <c r="O1408" s="1987" t="s">
        <v>3674</v>
      </c>
      <c r="P1408" s="1988" t="str">
        <f>'Part VIII-Threshold Criteria'!P314</f>
        <v>Yes</v>
      </c>
      <c r="Q1408" s="1988">
        <f>'Part VIII-Threshold Criteria'!Q314</f>
        <v>0</v>
      </c>
    </row>
    <row r="1409" spans="1:17">
      <c r="B1409" s="1873" t="s">
        <v>3781</v>
      </c>
      <c r="D1409" s="1873"/>
      <c r="E1409" s="1873"/>
      <c r="F1409" s="1873"/>
      <c r="G1409" s="1873"/>
      <c r="H1409" s="1872"/>
      <c r="I1409" s="1934"/>
      <c r="J1409" s="1934"/>
      <c r="K1409" s="1934"/>
      <c r="L1409" s="1836"/>
      <c r="M1409" s="1836"/>
      <c r="N1409" s="1836"/>
      <c r="O1409" s="1836"/>
      <c r="P1409" s="1836"/>
      <c r="Q1409" s="1836"/>
    </row>
    <row r="1410" spans="1:17" ht="135">
      <c r="A1410" s="1936" t="str">
        <f>'Part VIII-Threshold Criteria'!A316</f>
        <v>Applicant has met Threshold by agreeing  to all of DCA's accessibility standards stated above and in the 2018 QAP.</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1881</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4152</v>
      </c>
      <c r="B1413" s="1818" t="s">
        <v>2684</v>
      </c>
      <c r="C1413" s="1818"/>
      <c r="D1413" s="1818"/>
      <c r="E1413" s="1818"/>
      <c r="F1413" s="1818"/>
      <c r="G1413" s="1818"/>
      <c r="H1413" s="1939"/>
      <c r="I1413" s="1939"/>
      <c r="J1413" s="1939"/>
      <c r="K1413" s="1939"/>
      <c r="L1413" s="1939"/>
      <c r="M1413" s="1939"/>
      <c r="O1413" s="1935" t="s">
        <v>1882</v>
      </c>
      <c r="P1413" s="1844">
        <f>'Part VIII-Threshold Criteria'!P319</f>
        <v>0</v>
      </c>
      <c r="Q1413" s="1844">
        <f>'Part VIII-Threshold Criteria'!Q319</f>
        <v>0</v>
      </c>
    </row>
    <row r="1414" spans="1:17">
      <c r="B1414" s="1156" t="s">
        <v>2269</v>
      </c>
      <c r="P1414" s="1942" t="str">
        <f>'Part VIII-Threshold Criteria'!P320</f>
        <v>No</v>
      </c>
      <c r="Q1414" s="1942">
        <f>'Part VIII-Threshold Criteria'!Q320</f>
        <v>0</v>
      </c>
    </row>
    <row r="1415" spans="1:17">
      <c r="B1415" s="1996" t="s">
        <v>2228</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2000</v>
      </c>
      <c r="B1416" s="1969" t="s">
        <v>4809</v>
      </c>
      <c r="D1416" s="1872"/>
      <c r="E1416" s="1872"/>
      <c r="F1416" s="1872"/>
      <c r="G1416" s="1872"/>
      <c r="H1416" s="1872"/>
      <c r="I1416" s="1872"/>
      <c r="J1416" s="1872"/>
      <c r="K1416" s="1872"/>
      <c r="L1416" s="1872"/>
      <c r="M1416" s="1872"/>
      <c r="N1416" s="1987"/>
    </row>
    <row r="1417" spans="1:17" ht="12.75" customHeight="1">
      <c r="B1417" s="1936" t="s">
        <v>2901</v>
      </c>
      <c r="C1417" s="1936"/>
      <c r="D1417" s="1936"/>
      <c r="E1417" s="1936"/>
      <c r="F1417" s="1936"/>
      <c r="G1417" s="1936"/>
      <c r="H1417" s="1936"/>
      <c r="I1417" s="1936"/>
      <c r="J1417" s="1936"/>
      <c r="K1417" s="1936"/>
      <c r="L1417" s="1936"/>
      <c r="M1417" s="1936"/>
      <c r="N1417" s="1936"/>
      <c r="O1417" s="1987" t="s">
        <v>2000</v>
      </c>
      <c r="P1417" s="1988">
        <f>'Part VIII-Threshold Criteria'!P323</f>
        <v>0</v>
      </c>
      <c r="Q1417" s="1988">
        <f>'Part VIII-Threshold Criteria'!Q323</f>
        <v>0</v>
      </c>
    </row>
    <row r="1418" spans="1:17">
      <c r="A1418" s="1973" t="s">
        <v>2002</v>
      </c>
      <c r="B1418" s="1933" t="s">
        <v>464</v>
      </c>
      <c r="D1418" s="1933"/>
      <c r="E1418" s="1933"/>
      <c r="F1418" s="1933"/>
      <c r="G1418" s="1933"/>
      <c r="H1418" s="1933"/>
      <c r="I1418" s="1933"/>
      <c r="J1418" s="1933"/>
      <c r="K1418" s="1933"/>
      <c r="L1418" s="1933"/>
      <c r="M1418" s="1933"/>
      <c r="O1418" s="1987" t="s">
        <v>2002</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 xml:space="preserve">Fiber cement siding or other 30 year warranty product installed on all exterior wall surfaces not already required to be brick </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4810</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3781</v>
      </c>
      <c r="D1426" s="1873"/>
      <c r="E1426" s="1873"/>
      <c r="F1426" s="1873"/>
      <c r="G1426" s="1873"/>
      <c r="H1426" s="1872"/>
      <c r="I1426" s="1934"/>
      <c r="J1426" s="1934"/>
      <c r="K1426" s="1934"/>
      <c r="L1426" s="1836"/>
      <c r="M1426" s="1836"/>
      <c r="N1426" s="1836"/>
      <c r="O1426" s="1836"/>
      <c r="P1426" s="1836"/>
      <c r="Q1426" s="1836"/>
    </row>
    <row r="1427" spans="1:17" ht="168.75">
      <c r="A1427" s="1936" t="str">
        <f>'Part VIII-Threshold Criteria'!A333</f>
        <v xml:space="preserve">Applicant has met Threshold by adhering  to DCA design and quality standards.  This is not a rehabilitation project, therefore, item A above was left blank. </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1881</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4155</v>
      </c>
      <c r="B1430" s="1819" t="s">
        <v>4194</v>
      </c>
      <c r="C1430" s="1819"/>
      <c r="D1430" s="1939"/>
      <c r="E1430" s="1939"/>
      <c r="F1430" s="1939"/>
      <c r="G1430" s="1939"/>
      <c r="H1430" s="1939"/>
      <c r="O1430" s="1935" t="s">
        <v>1882</v>
      </c>
      <c r="P1430" s="1844">
        <f>'Part VIII-Threshold Criteria'!P336</f>
        <v>0</v>
      </c>
      <c r="Q1430" s="1844">
        <f>'Part VIII-Threshold Criteria'!Q336</f>
        <v>0</v>
      </c>
    </row>
    <row r="1431" spans="1:17">
      <c r="A1431" s="1975" t="s">
        <v>2000</v>
      </c>
      <c r="B1431" s="1156" t="s">
        <v>3949</v>
      </c>
      <c r="O1431" s="1987" t="s">
        <v>2000</v>
      </c>
      <c r="P1431" s="1942" t="str">
        <f>'Part VIII-Threshold Criteria'!P337</f>
        <v>Yes</v>
      </c>
      <c r="Q1431" s="1942">
        <f>'Part VIII-Threshold Criteria'!Q337</f>
        <v>0</v>
      </c>
    </row>
    <row r="1432" spans="1:17">
      <c r="A1432" s="1973" t="s">
        <v>2002</v>
      </c>
      <c r="B1432" s="1156" t="s">
        <v>4139</v>
      </c>
      <c r="O1432" s="1987" t="s">
        <v>2002</v>
      </c>
      <c r="P1432" s="1942" t="str">
        <f>'Part VIII-Threshold Criteria'!P338</f>
        <v>No</v>
      </c>
      <c r="Q1432" s="1942">
        <f>'Part VIII-Threshold Criteria'!Q338</f>
        <v>0</v>
      </c>
    </row>
    <row r="1433" spans="1:17">
      <c r="A1433" s="1973" t="s">
        <v>757</v>
      </c>
      <c r="B1433" s="1156" t="s">
        <v>2367</v>
      </c>
      <c r="O1433" s="1987" t="s">
        <v>757</v>
      </c>
      <c r="P1433" s="1942" t="str">
        <f>'Part VIII-Threshold Criteria'!P339</f>
        <v>No</v>
      </c>
      <c r="Q1433" s="1942">
        <f>'Part VIII-Threshold Criteria'!Q339</f>
        <v>0</v>
      </c>
    </row>
    <row r="1434" spans="1:17">
      <c r="A1434" s="1975" t="s">
        <v>2132</v>
      </c>
      <c r="B1434" s="1156" t="s">
        <v>3872</v>
      </c>
      <c r="O1434" s="1977" t="s">
        <v>2132</v>
      </c>
      <c r="P1434" s="1942" t="str">
        <f>'Part VIII-Threshold Criteria'!P340</f>
        <v>No</v>
      </c>
      <c r="Q1434" s="1942">
        <f>'Part VIII-Threshold Criteria'!Q340</f>
        <v>0</v>
      </c>
    </row>
    <row r="1435" spans="1:17">
      <c r="A1435" s="1973" t="s">
        <v>1748</v>
      </c>
      <c r="B1435" s="1156" t="s">
        <v>2904</v>
      </c>
      <c r="N1435" s="1987" t="s">
        <v>1748</v>
      </c>
      <c r="O1435" s="1642" t="str">
        <f>'Part VIII-Threshold Criteria'!O341</f>
        <v>Certifying GP/Developer</v>
      </c>
      <c r="P1435" s="1642">
        <f>'Part VIII-Threshold Criteria'!P341</f>
        <v>0</v>
      </c>
      <c r="Q1435" s="1642">
        <f>'Part VIII-Threshold Criteria'!Q341</f>
        <v>0</v>
      </c>
    </row>
    <row r="1436" spans="1:17">
      <c r="A1436" s="1973" t="s">
        <v>1749</v>
      </c>
      <c r="B1436" s="1993" t="s">
        <v>2368</v>
      </c>
      <c r="N1436" s="1987" t="s">
        <v>1749</v>
      </c>
      <c r="O1436" s="1642" t="str">
        <f>'Part VIII-Threshold Criteria'!O342</f>
        <v>&lt;&lt; Select Designation &gt;&gt;</v>
      </c>
      <c r="P1436" s="1642">
        <f>'Part VIII-Threshold Criteria'!P342</f>
        <v>0</v>
      </c>
      <c r="Q1436" s="1642">
        <f>'Part VIII-Threshold Criteria'!Q342</f>
        <v>0</v>
      </c>
    </row>
    <row r="1437" spans="1:17">
      <c r="B1437" s="1873" t="s">
        <v>3781</v>
      </c>
      <c r="D1437" s="1873"/>
      <c r="E1437" s="1873"/>
      <c r="F1437" s="1873"/>
      <c r="G1437" s="1873"/>
      <c r="H1437" s="1872"/>
      <c r="I1437" s="1934"/>
      <c r="J1437" s="1934"/>
      <c r="K1437" s="1934"/>
      <c r="L1437" s="1836"/>
      <c r="M1437" s="1836"/>
      <c r="N1437" s="1836"/>
      <c r="O1437" s="1836"/>
      <c r="P1437" s="1836"/>
      <c r="Q1437" s="1836"/>
    </row>
    <row r="1438" spans="1:17" ht="326.25">
      <c r="A1438" s="1936" t="str">
        <f>'Part VIII-Threshold Criteria'!A344</f>
        <v>Applicant has met Threshold because the Certifying Entities in this application  (Kevin Buckner and MHL, Inc.) were deemed qualified without conditions in 2017.  The determination letter and all other Qualifications for Project Team  documents can be found in TAB 19.</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1881</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4156</v>
      </c>
      <c r="B1441" s="1818" t="s">
        <v>2685</v>
      </c>
      <c r="C1441" s="1818"/>
      <c r="D1441" s="1933"/>
      <c r="E1441" s="1939"/>
      <c r="F1441" s="1939"/>
      <c r="G1441" s="1939"/>
      <c r="H1441" s="1939"/>
      <c r="I1441" s="1939"/>
      <c r="J1441" s="1939"/>
      <c r="K1441" s="1939"/>
      <c r="L1441" s="1939"/>
      <c r="M1441" s="1939"/>
      <c r="O1441" s="1935" t="s">
        <v>1882</v>
      </c>
      <c r="P1441" s="1844">
        <f>'Part VIII-Threshold Criteria'!P347</f>
        <v>0</v>
      </c>
      <c r="Q1441" s="1844">
        <f>'Part VIII-Threshold Criteria'!Q347</f>
        <v>0</v>
      </c>
    </row>
    <row r="1442" spans="1:17">
      <c r="A1442" s="1973" t="s">
        <v>2000</v>
      </c>
      <c r="B1442" s="1961" t="s">
        <v>3683</v>
      </c>
      <c r="D1442" s="1961"/>
      <c r="E1442" s="1961"/>
      <c r="F1442" s="1961"/>
      <c r="G1442" s="1961"/>
      <c r="H1442" s="1961"/>
      <c r="I1442" s="1961"/>
      <c r="J1442" s="1961"/>
      <c r="K1442" s="1961"/>
      <c r="L1442" s="1961"/>
      <c r="M1442" s="1961"/>
      <c r="N1442" s="1961"/>
      <c r="O1442" s="1987" t="s">
        <v>2000</v>
      </c>
      <c r="P1442" s="1942" t="str">
        <f>'Part VIII-Threshold Criteria'!P348</f>
        <v>No</v>
      </c>
      <c r="Q1442" s="1942">
        <f>'Part VIII-Threshold Criteria'!Q348</f>
        <v>0</v>
      </c>
    </row>
    <row r="1443" spans="1:17">
      <c r="A1443" s="1973" t="s">
        <v>2002</v>
      </c>
      <c r="B1443" s="1961" t="s">
        <v>3881</v>
      </c>
      <c r="D1443" s="1961"/>
      <c r="E1443" s="1961"/>
      <c r="F1443" s="1961"/>
      <c r="G1443" s="1961"/>
      <c r="H1443" s="1961"/>
      <c r="I1443" s="1961"/>
      <c r="J1443" s="1961"/>
      <c r="K1443" s="1961"/>
      <c r="L1443" s="1961"/>
      <c r="M1443" s="1961"/>
      <c r="N1443" s="1961"/>
      <c r="O1443" s="1987" t="s">
        <v>2002</v>
      </c>
      <c r="P1443" s="1942" t="str">
        <f>'Part VIII-Threshold Criteria'!P349</f>
        <v>N/A</v>
      </c>
      <c r="Q1443" s="1942">
        <f>'Part VIII-Threshold Criteria'!Q349</f>
        <v>0</v>
      </c>
    </row>
    <row r="1444" spans="1:17" ht="12.75" customHeight="1">
      <c r="A1444" s="1973" t="s">
        <v>757</v>
      </c>
      <c r="B1444" s="1936" t="s">
        <v>4140</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3781</v>
      </c>
      <c r="D1445" s="1873"/>
      <c r="E1445" s="1873"/>
      <c r="F1445" s="1873"/>
      <c r="G1445" s="1873"/>
      <c r="H1445" s="1872"/>
      <c r="I1445" s="1934"/>
      <c r="J1445" s="1934"/>
      <c r="K1445" s="1934"/>
      <c r="L1445" s="1836"/>
      <c r="M1445" s="1836"/>
      <c r="N1445" s="1836"/>
      <c r="O1445" s="1836"/>
      <c r="P1445" s="1836"/>
      <c r="Q1445" s="1836"/>
    </row>
    <row r="1446" spans="1:17" ht="168.75">
      <c r="A1446" s="1936" t="str">
        <f>'Part VIII-Threshold Criteria'!A352</f>
        <v>Applicant has met Threshold because the Certifying Entities and other team members have completed all required documents specified in TAB 19.</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1881</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4159</v>
      </c>
      <c r="B1450" s="1818" t="s">
        <v>4126</v>
      </c>
      <c r="C1450" s="1818"/>
      <c r="D1450" s="1818"/>
      <c r="E1450" s="1818"/>
      <c r="F1450" s="1818"/>
      <c r="G1450" s="1818"/>
      <c r="H1450" s="1939"/>
      <c r="I1450" s="1939"/>
      <c r="J1450" s="1939"/>
      <c r="K1450" s="1939"/>
      <c r="L1450" s="1939"/>
      <c r="M1450" s="1939"/>
      <c r="O1450" s="1935" t="s">
        <v>1882</v>
      </c>
      <c r="P1450" s="1844">
        <f>'Part VIII-Threshold Criteria'!P356</f>
        <v>0</v>
      </c>
      <c r="Q1450" s="1844">
        <f>'Part VIII-Threshold Criteria'!Q356</f>
        <v>0</v>
      </c>
    </row>
    <row r="1451" spans="1:17">
      <c r="A1451" s="1975" t="s">
        <v>2000</v>
      </c>
      <c r="B1451" s="478" t="s">
        <v>4127</v>
      </c>
      <c r="D1451" s="1834"/>
      <c r="E1451" s="1834"/>
      <c r="F1451" s="1834"/>
      <c r="G1451" s="1834"/>
      <c r="H1451" s="1977" t="s">
        <v>2000</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2002</v>
      </c>
      <c r="B1452" s="478" t="s">
        <v>4128</v>
      </c>
      <c r="D1452" s="1834"/>
      <c r="E1452" s="1834"/>
      <c r="F1452" s="1834"/>
      <c r="G1452" s="1834"/>
      <c r="H1452" s="1987" t="s">
        <v>2002</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4118</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2132</v>
      </c>
      <c r="B1454" s="1936" t="s">
        <v>4119</v>
      </c>
      <c r="C1454" s="1936"/>
      <c r="D1454" s="1936"/>
      <c r="E1454" s="1936"/>
      <c r="F1454" s="1936"/>
      <c r="G1454" s="1936"/>
      <c r="H1454" s="1936"/>
      <c r="I1454" s="1936"/>
      <c r="J1454" s="1936"/>
      <c r="K1454" s="1936"/>
      <c r="L1454" s="1936"/>
      <c r="M1454" s="1936"/>
      <c r="N1454" s="1936"/>
      <c r="O1454" s="1977" t="s">
        <v>2132</v>
      </c>
      <c r="P1454" s="1988">
        <f>'Part VIII-Threshold Criteria'!P360</f>
        <v>0</v>
      </c>
      <c r="Q1454" s="1988">
        <f>'Part VIII-Threshold Criteria'!Q360</f>
        <v>0</v>
      </c>
    </row>
    <row r="1455" spans="1:17">
      <c r="A1455" s="1973" t="s">
        <v>1748</v>
      </c>
      <c r="B1455" s="478" t="s">
        <v>4120</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4121</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1963</v>
      </c>
      <c r="B1457" s="1961" t="s">
        <v>4122</v>
      </c>
      <c r="C1457" s="1953"/>
      <c r="D1457" s="1936"/>
      <c r="E1457" s="1936"/>
      <c r="F1457" s="1936"/>
      <c r="G1457" s="1936"/>
      <c r="H1457" s="1936"/>
      <c r="I1457" s="1936"/>
      <c r="J1457" s="1936"/>
      <c r="K1457" s="1936"/>
      <c r="L1457" s="1936"/>
      <c r="M1457" s="1936"/>
      <c r="N1457" s="1936"/>
      <c r="O1457" s="1987" t="s">
        <v>1963</v>
      </c>
      <c r="P1457" s="1988">
        <f>'Part VIII-Threshold Criteria'!P363</f>
        <v>0</v>
      </c>
      <c r="Q1457" s="1988">
        <f>'Part VIII-Threshold Criteria'!Q363</f>
        <v>0</v>
      </c>
    </row>
    <row r="1458" spans="1:17">
      <c r="A1458" s="1953"/>
      <c r="B1458" s="1953"/>
      <c r="C1458" s="1996" t="s">
        <v>4811</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3393</v>
      </c>
      <c r="B1459" s="1936" t="s">
        <v>4123</v>
      </c>
      <c r="C1459" s="1936"/>
      <c r="D1459" s="1936"/>
      <c r="E1459" s="1936"/>
      <c r="F1459" s="1936"/>
      <c r="G1459" s="1936"/>
      <c r="H1459" s="1936"/>
      <c r="I1459" s="1936"/>
      <c r="J1459" s="1936"/>
      <c r="K1459" s="1936"/>
      <c r="L1459" s="1936"/>
      <c r="M1459" s="1936"/>
      <c r="N1459" s="1936"/>
      <c r="O1459" s="1987" t="s">
        <v>3393</v>
      </c>
      <c r="P1459" s="1988">
        <f>'Part VIII-Threshold Criteria'!P365</f>
        <v>0</v>
      </c>
      <c r="Q1459" s="1988">
        <f>'Part VIII-Threshold Criteria'!Q365</f>
        <v>0</v>
      </c>
    </row>
    <row r="1460" spans="1:17" ht="12.75" customHeight="1">
      <c r="A1460" s="1973" t="s">
        <v>622</v>
      </c>
      <c r="B1460" s="1936" t="s">
        <v>4124</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3781</v>
      </c>
      <c r="D1461" s="1873"/>
      <c r="E1461" s="1873"/>
      <c r="F1461" s="1873"/>
      <c r="G1461" s="1873"/>
      <c r="H1461" s="1872"/>
      <c r="I1461" s="1934"/>
      <c r="J1461" s="1934"/>
      <c r="K1461" s="1934"/>
      <c r="L1461" s="1836"/>
      <c r="M1461" s="1836"/>
      <c r="N1461" s="1836"/>
      <c r="O1461" s="1836"/>
      <c r="P1461" s="1836"/>
      <c r="Q1461" s="1836"/>
    </row>
    <row r="1462" spans="1:17" ht="56.25">
      <c r="A1462" s="1936" t="str">
        <f>'Part VIII-Threshold Criteria'!A368</f>
        <v>A qualified nonprofit is not part of this application.</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1881</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4160</v>
      </c>
      <c r="B1466" s="1818" t="s">
        <v>3950</v>
      </c>
      <c r="C1466" s="1818"/>
      <c r="D1466" s="1818"/>
      <c r="E1466" s="1818"/>
      <c r="F1466" s="1818"/>
      <c r="G1466" s="1818"/>
      <c r="H1466" s="1939"/>
      <c r="I1466" s="1939"/>
      <c r="J1466" s="1939"/>
      <c r="O1466" s="1935" t="s">
        <v>1882</v>
      </c>
      <c r="P1466" s="1844">
        <f>'Part VIII-Threshold Criteria'!P372</f>
        <v>0</v>
      </c>
      <c r="Q1466" s="1844">
        <f>'Part VIII-Threshold Criteria'!Q372</f>
        <v>0</v>
      </c>
    </row>
    <row r="1467" spans="1:17">
      <c r="A1467" s="1975" t="s">
        <v>2000</v>
      </c>
      <c r="B1467" s="1933" t="s">
        <v>3952</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4177</v>
      </c>
      <c r="D1468" s="478"/>
      <c r="E1468" s="478"/>
      <c r="F1468" s="478"/>
      <c r="G1468" s="1933">
        <f>'Part VIII-Threshold Criteria'!G374</f>
        <v>0</v>
      </c>
      <c r="H1468" s="1933">
        <f>'Part VIII-Threshold Criteria'!H374</f>
        <v>0</v>
      </c>
      <c r="I1468" s="1933">
        <f>'Part VIII-Threshold Criteria'!I374</f>
        <v>0</v>
      </c>
      <c r="J1468" s="1934" t="s">
        <v>3959</v>
      </c>
      <c r="K1468" s="1933">
        <f>'Part VIII-Threshold Criteria'!K374</f>
        <v>0</v>
      </c>
      <c r="L1468" s="1933">
        <f>'Part VIII-Threshold Criteria'!L374</f>
        <v>0</v>
      </c>
      <c r="M1468" s="1933">
        <f>'Part VIII-Threshold Criteria'!M374</f>
        <v>0</v>
      </c>
      <c r="N1468" s="478" t="s">
        <v>3951</v>
      </c>
      <c r="O1468" s="478"/>
      <c r="P1468" s="1933">
        <f>'Part VIII-Threshold Criteria'!P374</f>
        <v>0</v>
      </c>
      <c r="Q1468" s="1933">
        <f>'Part VIII-Threshold Criteria'!Q374</f>
        <v>0</v>
      </c>
    </row>
    <row r="1469" spans="1:17">
      <c r="A1469" s="1629"/>
      <c r="B1469" s="478" t="s">
        <v>1751</v>
      </c>
      <c r="C1469" s="478" t="s">
        <v>3953</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3954</v>
      </c>
      <c r="D1470" s="1828"/>
      <c r="E1470" s="1901"/>
      <c r="F1470" s="1978" t="str">
        <f>'Part VIII-Threshold Criteria'!F376</f>
        <v>Urban</v>
      </c>
      <c r="G1470" s="1978">
        <f>'Part VIII-Threshold Criteria'!G376</f>
        <v>0</v>
      </c>
      <c r="H1470" s="1866" t="s">
        <v>3955</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2382</v>
      </c>
      <c r="C1471" s="478" t="s">
        <v>3956</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3966</v>
      </c>
      <c r="O1471" s="1977"/>
      <c r="P1471" s="1942">
        <f>'Part VIII-Threshold Criteria'!P377</f>
        <v>0</v>
      </c>
      <c r="Q1471" s="1942">
        <f>'Part VIII-Threshold Criteria'!Q377</f>
        <v>0</v>
      </c>
    </row>
    <row r="1472" spans="1:17">
      <c r="A1472" s="1975"/>
      <c r="B1472" s="478" t="s">
        <v>1561</v>
      </c>
      <c r="C1472" s="478" t="s">
        <v>3957</v>
      </c>
      <c r="D1472" s="1629"/>
      <c r="E1472" s="478"/>
      <c r="F1472" s="2013">
        <f>'Part VIII-Threshold Criteria'!F378</f>
        <v>923320</v>
      </c>
      <c r="G1472" s="2013">
        <f>'Part VIII-Threshold Criteria'!G378</f>
        <v>0</v>
      </c>
      <c r="H1472" s="478" t="s">
        <v>3958</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3960</v>
      </c>
      <c r="D1473" s="1629"/>
      <c r="E1473" s="478"/>
      <c r="F1473" s="478"/>
      <c r="G1473" s="478"/>
      <c r="H1473" s="478" t="s">
        <v>3619</v>
      </c>
      <c r="I1473" s="478"/>
      <c r="J1473" s="2013">
        <f>'Part VIII-Threshold Criteria'!J379</f>
        <v>0</v>
      </c>
      <c r="K1473" s="2013">
        <f>'Part VIII-Threshold Criteria'!K379</f>
        <v>0</v>
      </c>
      <c r="L1473" s="478" t="s">
        <v>3961</v>
      </c>
      <c r="M1473" s="2013">
        <f>'Part VIII-Threshold Criteria'!M379</f>
        <v>0</v>
      </c>
      <c r="N1473" s="2013">
        <f>'Part VIII-Threshold Criteria'!N379</f>
        <v>0</v>
      </c>
      <c r="O1473" s="1629"/>
      <c r="P1473" s="1629"/>
      <c r="Q1473" s="1629"/>
    </row>
    <row r="1474" spans="1:17">
      <c r="A1474" s="1629"/>
      <c r="B1474" s="478" t="s">
        <v>99</v>
      </c>
      <c r="C1474" s="478" t="s">
        <v>3962</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2002</v>
      </c>
      <c r="B1476" s="1933" t="s">
        <v>3963</v>
      </c>
      <c r="C1476" s="1629"/>
      <c r="D1476" s="1901"/>
      <c r="E1476" s="1901"/>
      <c r="F1476" s="1901"/>
      <c r="G1476" s="1901"/>
      <c r="H1476" s="1901"/>
      <c r="I1476" s="1629"/>
      <c r="J1476" s="478" t="s">
        <v>3968</v>
      </c>
      <c r="K1476" s="478"/>
      <c r="L1476" s="478"/>
      <c r="M1476" s="478"/>
      <c r="N1476" s="1901" t="s">
        <v>3965</v>
      </c>
      <c r="O1476" s="1901"/>
      <c r="P1476" s="1901"/>
      <c r="Q1476" s="1901"/>
    </row>
    <row r="1477" spans="1:17">
      <c r="A1477" s="1629"/>
      <c r="B1477" s="478" t="s">
        <v>1750</v>
      </c>
      <c r="C1477" s="1872" t="s">
        <v>3964</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3967</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3969</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3781</v>
      </c>
      <c r="D1480" s="1873"/>
      <c r="E1480" s="1873"/>
      <c r="F1480" s="1873"/>
      <c r="G1480" s="1873"/>
      <c r="H1480" s="1872"/>
      <c r="I1480" s="1934"/>
      <c r="J1480" s="1934"/>
      <c r="K1480" s="1934"/>
      <c r="L1480" s="1836"/>
      <c r="M1480" s="1836"/>
      <c r="N1480" s="1836"/>
      <c r="O1480" s="1836"/>
      <c r="P1480" s="1836"/>
      <c r="Q1480" s="1836"/>
    </row>
    <row r="1481" spans="1:17" ht="56.25">
      <c r="A1481" s="1936" t="str">
        <f>'Part VIII-Threshold Criteria'!A387</f>
        <v>This project is not in the Rural HOME preservation set aside.</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1881</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4161</v>
      </c>
      <c r="B1486" s="1818" t="s">
        <v>2702</v>
      </c>
      <c r="C1486" s="1818"/>
      <c r="D1486" s="1818"/>
      <c r="E1486" s="1818"/>
      <c r="F1486" s="1818"/>
      <c r="G1486" s="1818"/>
      <c r="H1486" s="1939"/>
      <c r="I1486" s="1939"/>
      <c r="J1486" s="1939"/>
      <c r="O1486" s="1935" t="s">
        <v>1882</v>
      </c>
      <c r="P1486" s="1844">
        <f>'Part VIII-Threshold Criteria'!P392</f>
        <v>0</v>
      </c>
      <c r="Q1486" s="1844">
        <f>'Part VIII-Threshold Criteria'!Q392</f>
        <v>0</v>
      </c>
    </row>
    <row r="1487" spans="1:17">
      <c r="A1487" s="1975" t="s">
        <v>2000</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2689</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2002</v>
      </c>
      <c r="B1488" s="478" t="s">
        <v>3488</v>
      </c>
      <c r="D1488" s="478"/>
      <c r="E1488" s="478"/>
      <c r="F1488" s="478"/>
      <c r="G1488" s="478"/>
      <c r="H1488" s="478"/>
      <c r="I1488" s="478"/>
      <c r="J1488" s="478"/>
      <c r="K1488" s="478"/>
      <c r="L1488" s="1872"/>
      <c r="M1488" s="1872"/>
      <c r="O1488" s="1977" t="s">
        <v>2002</v>
      </c>
      <c r="P1488" s="1942">
        <f>'Part VIII-Threshold Criteria'!P394</f>
        <v>0</v>
      </c>
      <c r="Q1488" s="1942">
        <f>'Part VIII-Threshold Criteria'!Q394</f>
        <v>0</v>
      </c>
    </row>
    <row r="1489" spans="1:17" ht="12.75" customHeight="1">
      <c r="A1489" s="1973" t="s">
        <v>757</v>
      </c>
      <c r="B1489" s="1936" t="s">
        <v>3498</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2132</v>
      </c>
      <c r="B1490" s="1156" t="s">
        <v>3726</v>
      </c>
      <c r="G1490" s="1866"/>
      <c r="H1490" s="1866"/>
      <c r="I1490" s="1866"/>
      <c r="J1490" s="1872" t="s">
        <v>3727</v>
      </c>
      <c r="L1490" s="1866"/>
      <c r="M1490" s="2016">
        <f>'Part III-Sources of Funds'!E1105</f>
        <v>0</v>
      </c>
      <c r="N1490" s="2016"/>
      <c r="O1490" s="1977" t="s">
        <v>2132</v>
      </c>
      <c r="P1490" s="1942">
        <f>'Part VIII-Threshold Criteria'!P396</f>
        <v>0</v>
      </c>
      <c r="Q1490" s="1942">
        <f>'Part VIII-Threshold Criteria'!Q396</f>
        <v>0</v>
      </c>
    </row>
    <row r="1491" spans="1:17">
      <c r="B1491" s="1873" t="s">
        <v>3781</v>
      </c>
      <c r="D1491" s="1873"/>
      <c r="E1491" s="1873"/>
      <c r="F1491" s="1873"/>
      <c r="G1491" s="1873"/>
      <c r="H1491" s="1872"/>
      <c r="I1491" s="1934"/>
      <c r="J1491" s="1934"/>
      <c r="K1491" s="1934"/>
      <c r="L1491" s="1836"/>
      <c r="M1491" s="1836"/>
      <c r="N1491" s="1836"/>
      <c r="O1491" s="1836"/>
      <c r="P1491" s="1836"/>
      <c r="Q1491" s="1836"/>
    </row>
    <row r="1492" spans="1:17" ht="78.75">
      <c r="A1492" s="1936" t="str">
        <f>'Part VIII-Threshold Criteria'!A398</f>
        <v>A CHDO is not part of the ownership structure for this Application.</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1881</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4162</v>
      </c>
      <c r="B1496" s="1818" t="s">
        <v>2686</v>
      </c>
      <c r="C1496" s="1818"/>
      <c r="D1496" s="1818"/>
      <c r="E1496" s="1939"/>
      <c r="G1496" s="1961" t="s">
        <v>708</v>
      </c>
      <c r="H1496" s="1939"/>
      <c r="I1496" s="1939"/>
      <c r="J1496" s="1939"/>
      <c r="K1496" s="1939"/>
      <c r="L1496" s="1939"/>
      <c r="M1496" s="1939"/>
      <c r="O1496" s="1935" t="s">
        <v>1882</v>
      </c>
      <c r="P1496" s="1844">
        <f>'Part VIII-Threshold Criteria'!P402</f>
        <v>0</v>
      </c>
      <c r="Q1496" s="1844">
        <f>'Part VIII-Threshold Criteria'!Q402</f>
        <v>0</v>
      </c>
    </row>
    <row r="1497" spans="1:17">
      <c r="A1497" s="1975" t="s">
        <v>2000</v>
      </c>
      <c r="B1497" s="478" t="s">
        <v>2691</v>
      </c>
      <c r="D1497" s="1936"/>
      <c r="E1497" s="1936"/>
      <c r="H1497" s="1961"/>
      <c r="O1497" s="1977" t="s">
        <v>2000</v>
      </c>
      <c r="P1497" s="1942">
        <f>'Part VIII-Threshold Criteria'!P403</f>
        <v>0</v>
      </c>
      <c r="Q1497" s="1942">
        <f>'Part VIII-Threshold Criteria'!Q403</f>
        <v>0</v>
      </c>
    </row>
    <row r="1498" spans="1:17">
      <c r="A1498" s="1975" t="s">
        <v>2002</v>
      </c>
      <c r="B1498" s="478" t="s">
        <v>3609</v>
      </c>
      <c r="D1498" s="1936"/>
      <c r="E1498" s="1936"/>
      <c r="O1498" s="1977" t="s">
        <v>2002</v>
      </c>
      <c r="P1498" s="1942">
        <f>'Part VIII-Threshold Criteria'!P404</f>
        <v>0</v>
      </c>
      <c r="Q1498" s="1942">
        <f>'Part VIII-Threshold Criteria'!Q404</f>
        <v>0</v>
      </c>
    </row>
    <row r="1499" spans="1:17">
      <c r="A1499" s="1975" t="s">
        <v>757</v>
      </c>
      <c r="B1499" s="478" t="s">
        <v>4125</v>
      </c>
      <c r="D1499" s="1936"/>
      <c r="E1499" s="1936"/>
      <c r="O1499" s="1977" t="s">
        <v>757</v>
      </c>
      <c r="P1499" s="1942">
        <f>'Part VIII-Threshold Criteria'!P405</f>
        <v>0</v>
      </c>
      <c r="Q1499" s="1942">
        <f>'Part VIII-Threshold Criteria'!Q405</f>
        <v>0</v>
      </c>
    </row>
    <row r="1500" spans="1:17">
      <c r="A1500" s="1975" t="s">
        <v>2132</v>
      </c>
      <c r="B1500" s="478" t="s">
        <v>3610</v>
      </c>
      <c r="E1500" s="1961"/>
      <c r="O1500" s="1977" t="s">
        <v>2132</v>
      </c>
      <c r="P1500" s="1942">
        <f>'Part VIII-Threshold Criteria'!P406</f>
        <v>0</v>
      </c>
      <c r="Q1500" s="1942">
        <f>'Part VIII-Threshold Criteria'!Q406</f>
        <v>0</v>
      </c>
    </row>
    <row r="1501" spans="1:17">
      <c r="A1501" s="1975" t="s">
        <v>1748</v>
      </c>
      <c r="B1501" s="478" t="s">
        <v>2096</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3781</v>
      </c>
      <c r="D1502" s="1873"/>
      <c r="E1502" s="1873"/>
      <c r="F1502" s="1873"/>
      <c r="G1502" s="1873"/>
      <c r="H1502" s="1872"/>
      <c r="I1502" s="1934"/>
      <c r="J1502" s="1934"/>
      <c r="K1502" s="1934"/>
      <c r="L1502" s="1836"/>
      <c r="M1502" s="1836"/>
      <c r="N1502" s="1836"/>
      <c r="O1502" s="1836"/>
      <c r="P1502" s="1836"/>
      <c r="Q1502" s="1836"/>
    </row>
    <row r="1503" spans="1:17" ht="56.25">
      <c r="A1503" s="1936" t="str">
        <f>'Part VIII-Threshold Criteria'!A409</f>
        <v>No legal opinions are required for this application.</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1881</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4163</v>
      </c>
      <c r="B1507" s="1818" t="s">
        <v>2687</v>
      </c>
      <c r="C1507" s="1818"/>
      <c r="D1507" s="1818"/>
      <c r="E1507" s="1818"/>
      <c r="F1507" s="1818"/>
      <c r="G1507" s="1818"/>
      <c r="H1507" s="1939"/>
      <c r="I1507" s="1939"/>
      <c r="J1507" s="1939"/>
      <c r="K1507" s="1939"/>
      <c r="L1507" s="1939"/>
      <c r="M1507" s="1939"/>
      <c r="O1507" s="1935" t="s">
        <v>1882</v>
      </c>
      <c r="P1507" s="1844">
        <f>'Part VIII-Threshold Criteria'!P413</f>
        <v>0</v>
      </c>
      <c r="Q1507" s="1844">
        <f>'Part VIII-Threshold Criteria'!Q413</f>
        <v>0</v>
      </c>
    </row>
    <row r="1508" spans="1:17">
      <c r="A1508" s="1975" t="s">
        <v>2000</v>
      </c>
      <c r="B1508" s="478" t="s">
        <v>760</v>
      </c>
      <c r="D1508" s="1629"/>
      <c r="E1508" s="1629"/>
      <c r="F1508" s="1629"/>
      <c r="G1508" s="1629"/>
      <c r="H1508" s="1629"/>
      <c r="I1508" s="1629"/>
      <c r="J1508" s="1629"/>
      <c r="K1508" s="1629"/>
      <c r="L1508" s="1629"/>
      <c r="M1508" s="1629"/>
      <c r="N1508" s="1629"/>
      <c r="O1508" s="1977" t="s">
        <v>2000</v>
      </c>
      <c r="P1508" s="1942" t="str">
        <f>'Part VIII-Threshold Criteria'!P414</f>
        <v>No</v>
      </c>
      <c r="Q1508" s="1942">
        <f>'Part VIII-Threshold Criteria'!Q414</f>
        <v>0</v>
      </c>
    </row>
    <row r="1509" spans="1:17">
      <c r="A1509" s="1975" t="s">
        <v>2002</v>
      </c>
      <c r="B1509" s="478" t="s">
        <v>3500</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3499</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3596</v>
      </c>
      <c r="C1512" s="478" t="s">
        <v>3597</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2218</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2132</v>
      </c>
      <c r="B1514" s="1872" t="s">
        <v>2835</v>
      </c>
      <c r="C1514" s="1872"/>
      <c r="E1514" s="1872"/>
      <c r="F1514" s="1872"/>
      <c r="G1514" s="1872"/>
      <c r="H1514" s="1872"/>
      <c r="I1514" s="1872"/>
      <c r="J1514" s="1872"/>
      <c r="K1514" s="1872"/>
      <c r="L1514" s="1872"/>
      <c r="M1514" s="1872"/>
      <c r="N1514" s="1629"/>
      <c r="O1514" s="1977"/>
      <c r="P1514" s="1629"/>
      <c r="Q1514" s="1629"/>
    </row>
    <row r="1515" spans="1:17">
      <c r="A1515" s="1975"/>
      <c r="B1515" s="478" t="s">
        <v>2219</v>
      </c>
      <c r="C1515" s="478"/>
      <c r="E1515" s="1629"/>
      <c r="F1515" s="1872"/>
      <c r="G1515" s="1836">
        <f>'Part VIII-Threshold Criteria'!G421</f>
        <v>0</v>
      </c>
      <c r="H1515" s="1831">
        <f>'Part VIII-Threshold Criteria'!H421</f>
        <v>0</v>
      </c>
      <c r="J1515" s="478" t="s">
        <v>2222</v>
      </c>
      <c r="K1515" s="1872"/>
      <c r="N1515" s="1836">
        <f>'Part VIII-Threshold Criteria'!N421</f>
        <v>0</v>
      </c>
      <c r="O1515" s="1831">
        <f>'Part VIII-Threshold Criteria'!O421</f>
        <v>0</v>
      </c>
    </row>
    <row r="1516" spans="1:17">
      <c r="A1516" s="1975"/>
      <c r="B1516" s="478" t="s">
        <v>2220</v>
      </c>
      <c r="C1516" s="478"/>
      <c r="E1516" s="1629"/>
      <c r="F1516" s="1872"/>
      <c r="G1516" s="1836">
        <f>'Part VIII-Threshold Criteria'!G422</f>
        <v>0</v>
      </c>
      <c r="H1516" s="1831">
        <f>'Part VIII-Threshold Criteria'!H422</f>
        <v>0</v>
      </c>
      <c r="J1516" s="478" t="s">
        <v>2223</v>
      </c>
      <c r="K1516" s="1872"/>
      <c r="N1516" s="1836">
        <f>'Part VIII-Threshold Criteria'!N422</f>
        <v>0</v>
      </c>
      <c r="O1516" s="1831">
        <f>'Part VIII-Threshold Criteria'!O422</f>
        <v>0</v>
      </c>
    </row>
    <row r="1517" spans="1:17">
      <c r="A1517" s="1975"/>
      <c r="B1517" s="478" t="s">
        <v>2221</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2402</v>
      </c>
      <c r="C1518" s="1872"/>
      <c r="E1518" s="1872"/>
      <c r="F1518" s="1872"/>
      <c r="G1518" s="1872"/>
      <c r="J1518" s="1629"/>
      <c r="K1518" s="1872"/>
      <c r="L1518" s="1872"/>
      <c r="M1518" s="1872"/>
      <c r="N1518" s="1629"/>
      <c r="O1518" s="1977"/>
      <c r="P1518" s="1977"/>
      <c r="Q1518" s="1977"/>
    </row>
    <row r="1519" spans="1:17">
      <c r="A1519" s="1629"/>
      <c r="B1519" s="1156" t="s">
        <v>2224</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2270</v>
      </c>
      <c r="N1520" s="1894">
        <f>'Part VIII-Threshold Criteria'!N426</f>
        <v>0</v>
      </c>
      <c r="O1520" s="1894">
        <f>'Part VIII-Threshold Criteria'!O426</f>
        <v>0</v>
      </c>
      <c r="P1520" s="1894">
        <f>'Part VIII-Threshold Criteria'!P426</f>
        <v>0</v>
      </c>
      <c r="Q1520" s="1894">
        <f>'Part VIII-Threshold Criteria'!Q426</f>
        <v>0</v>
      </c>
    </row>
    <row r="1521" spans="1:17">
      <c r="B1521" s="1873" t="s">
        <v>3781</v>
      </c>
      <c r="D1521" s="1873"/>
      <c r="E1521" s="1873"/>
      <c r="F1521" s="1873"/>
      <c r="G1521" s="1873"/>
      <c r="H1521" s="1872"/>
      <c r="I1521" s="1934"/>
      <c r="J1521" s="1934"/>
      <c r="K1521" s="1934"/>
      <c r="P1521" s="1836"/>
      <c r="Q1521" s="1836"/>
    </row>
    <row r="1522" spans="1:17" ht="101.25">
      <c r="A1522" s="1936" t="str">
        <f>'Part VIII-Threshold Criteria'!A428</f>
        <v>No one lives on this site.  No relocation or displacement of tenants will occur.</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1881</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4164</v>
      </c>
      <c r="B1526" s="1818" t="s">
        <v>2836</v>
      </c>
      <c r="C1526" s="1818"/>
      <c r="D1526" s="1933"/>
      <c r="E1526" s="1939"/>
      <c r="F1526" s="1939"/>
      <c r="G1526" s="1939"/>
      <c r="H1526" s="1939"/>
      <c r="O1526" s="1935" t="s">
        <v>1882</v>
      </c>
      <c r="P1526" s="1844">
        <f>'Part VIII-Threshold Criteria'!P432</f>
        <v>0</v>
      </c>
      <c r="Q1526" s="1844">
        <f>'Part VIII-Threshold Criteria'!Q432</f>
        <v>0</v>
      </c>
    </row>
    <row r="1527" spans="1:17">
      <c r="B1527" s="1933" t="s">
        <v>3970</v>
      </c>
      <c r="C1527" s="1818"/>
      <c r="D1527" s="1933"/>
      <c r="E1527" s="1939"/>
      <c r="F1527" s="1939"/>
      <c r="G1527" s="1939"/>
      <c r="H1527" s="1939"/>
    </row>
    <row r="1528" spans="1:17" ht="12.75" customHeight="1">
      <c r="A1528" s="1973" t="s">
        <v>2000</v>
      </c>
      <c r="B1528" s="1936" t="s">
        <v>3973</v>
      </c>
      <c r="C1528" s="1936"/>
      <c r="D1528" s="1936"/>
      <c r="E1528" s="1936"/>
      <c r="F1528" s="1936"/>
      <c r="G1528" s="1936"/>
      <c r="H1528" s="1936"/>
      <c r="I1528" s="1936"/>
      <c r="J1528" s="1936"/>
      <c r="K1528" s="1936"/>
      <c r="L1528" s="1936"/>
      <c r="M1528" s="1936"/>
      <c r="N1528" s="1936"/>
      <c r="O1528" s="1987" t="s">
        <v>2000</v>
      </c>
      <c r="P1528" s="1988" t="str">
        <f>'Part VIII-Threshold Criteria'!P434</f>
        <v>Agree</v>
      </c>
      <c r="Q1528" s="1988">
        <f>'Part VIII-Threshold Criteria'!Q434</f>
        <v>0</v>
      </c>
    </row>
    <row r="1529" spans="1:17" ht="12.75" customHeight="1">
      <c r="A1529" s="1973" t="s">
        <v>2002</v>
      </c>
      <c r="B1529" s="1936" t="s">
        <v>3971</v>
      </c>
      <c r="C1529" s="1936"/>
      <c r="D1529" s="1936"/>
      <c r="E1529" s="1936"/>
      <c r="F1529" s="1936"/>
      <c r="G1529" s="1936"/>
      <c r="H1529" s="1936"/>
      <c r="I1529" s="1936"/>
      <c r="J1529" s="1936"/>
      <c r="K1529" s="1936"/>
      <c r="L1529" s="1936"/>
      <c r="M1529" s="1936"/>
      <c r="N1529" s="1936"/>
      <c r="O1529" s="1987" t="s">
        <v>2002</v>
      </c>
      <c r="P1529" s="1988" t="str">
        <f>'Part VIII-Threshold Criteria'!P435</f>
        <v>Agree</v>
      </c>
      <c r="Q1529" s="1988">
        <f>'Part VIII-Threshold Criteria'!Q435</f>
        <v>0</v>
      </c>
    </row>
    <row r="1530" spans="1:17" ht="12.75" customHeight="1">
      <c r="A1530" s="1953"/>
      <c r="B1530" s="1936" t="s">
        <v>3972</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3974</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3975</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3976</v>
      </c>
      <c r="C1533" s="1936"/>
      <c r="D1533" s="1936"/>
      <c r="E1533" s="1936"/>
      <c r="F1533" s="1936"/>
      <c r="G1533" s="1936"/>
      <c r="H1533" s="1936"/>
      <c r="I1533" s="1936"/>
      <c r="J1533" s="1936"/>
      <c r="K1533" s="1936"/>
      <c r="L1533" s="1936"/>
      <c r="M1533" s="1936"/>
      <c r="N1533" s="1936"/>
      <c r="O1533" s="1987" t="s">
        <v>2382</v>
      </c>
      <c r="P1533" s="1988" t="str">
        <f>'Part VIII-Threshold Criteria'!P439</f>
        <v>Agree</v>
      </c>
      <c r="Q1533" s="1988">
        <f>'Part VIII-Threshold Criteria'!Q439</f>
        <v>0</v>
      </c>
    </row>
    <row r="1534" spans="1:17" ht="12.75" customHeight="1">
      <c r="A1534" s="1973" t="s">
        <v>757</v>
      </c>
      <c r="B1534" s="1936" t="s">
        <v>3977</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2132</v>
      </c>
      <c r="B1535" s="1936" t="s">
        <v>3978</v>
      </c>
      <c r="C1535" s="1936"/>
      <c r="D1535" s="1936"/>
      <c r="E1535" s="1936"/>
      <c r="F1535" s="1936"/>
      <c r="G1535" s="1936"/>
      <c r="H1535" s="1936"/>
      <c r="I1535" s="1936"/>
      <c r="J1535" s="1936"/>
      <c r="K1535" s="1936"/>
      <c r="L1535" s="1936"/>
      <c r="M1535" s="1936"/>
      <c r="N1535" s="1936"/>
      <c r="O1535" s="1987" t="s">
        <v>2132</v>
      </c>
      <c r="P1535" s="1988" t="str">
        <f>'Part VIII-Threshold Criteria'!P441</f>
        <v>Agree</v>
      </c>
      <c r="Q1535" s="1988">
        <f>'Part VIII-Threshold Criteria'!Q441</f>
        <v>0</v>
      </c>
    </row>
    <row r="1536" spans="1:17" ht="12.75" customHeight="1">
      <c r="A1536" s="1973" t="s">
        <v>1748</v>
      </c>
      <c r="B1536" s="1936" t="s">
        <v>3979</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3501</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3781</v>
      </c>
      <c r="D1538" s="1873"/>
      <c r="E1538" s="1873"/>
      <c r="F1538" s="1873"/>
      <c r="G1538" s="1873"/>
      <c r="H1538" s="1872"/>
      <c r="I1538" s="1934"/>
      <c r="J1538" s="1934"/>
      <c r="K1538" s="1934"/>
      <c r="L1538" s="1836"/>
      <c r="M1538" s="1836"/>
      <c r="N1538" s="1836"/>
      <c r="O1538" s="1836"/>
      <c r="P1538" s="1836"/>
      <c r="Q1538" s="1836"/>
    </row>
    <row r="1539" spans="1:17" ht="67.5">
      <c r="A1539" s="1936" t="str">
        <f>'Part VIII-Threshold Criteria'!A445</f>
        <v>Applicant has met Threshold by agreeing to all of the above.</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1881</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4165</v>
      </c>
      <c r="B1543" s="1818" t="s">
        <v>2688</v>
      </c>
      <c r="C1543" s="1818"/>
      <c r="D1543" s="1933"/>
      <c r="E1543" s="1939"/>
      <c r="F1543" s="1939"/>
      <c r="G1543" s="1939"/>
      <c r="H1543" s="1939"/>
      <c r="I1543" s="1939"/>
      <c r="J1543" s="1939"/>
      <c r="K1543" s="1939"/>
      <c r="L1543" s="1939"/>
      <c r="M1543" s="1939"/>
      <c r="O1543" s="1935" t="s">
        <v>1882</v>
      </c>
      <c r="P1543" s="1844">
        <f>'Part VIII-Threshold Criteria'!P449</f>
        <v>0</v>
      </c>
      <c r="Q1543" s="1844">
        <f>'Part VIII-Threshold Criteria'!Q449</f>
        <v>0</v>
      </c>
    </row>
    <row r="1544" spans="1:17">
      <c r="A1544" s="1819"/>
      <c r="B1544" s="1873" t="s">
        <v>3781</v>
      </c>
      <c r="D1544" s="1873"/>
      <c r="E1544" s="1873"/>
      <c r="F1544" s="1873"/>
      <c r="G1544" s="1873"/>
      <c r="H1544" s="1872"/>
      <c r="I1544" s="1934"/>
      <c r="J1544" s="1934"/>
      <c r="K1544" s="1934"/>
      <c r="L1544" s="1836"/>
      <c r="M1544" s="1836"/>
      <c r="N1544" s="1836"/>
      <c r="O1544" s="1836"/>
      <c r="P1544" s="1836"/>
      <c r="Q1544" s="1836"/>
    </row>
    <row r="1545" spans="1:17" ht="409.5">
      <c r="A1545" s="1936" t="str">
        <f>'Part VIII-Threshold Criteria'!A451</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1881</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2018-021 Grayling Place,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4812</v>
      </c>
      <c r="B1557" s="1861"/>
      <c r="C1557" s="1861"/>
      <c r="D1557" s="1861"/>
      <c r="E1557" s="1861"/>
      <c r="F1557" s="1861"/>
      <c r="G1557" s="1861"/>
      <c r="H1557" s="1861"/>
      <c r="I1557" s="1861"/>
      <c r="J1557" s="1861"/>
      <c r="K1557" s="1861"/>
      <c r="L1557" s="1861"/>
      <c r="M1557" s="1842" t="s">
        <v>2236</v>
      </c>
      <c r="N1557" s="1828"/>
      <c r="O1557" s="1837" t="s">
        <v>2235</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2236</v>
      </c>
      <c r="P1558" s="1837" t="s">
        <v>2236</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58</v>
      </c>
      <c r="P1560" s="2021">
        <f>P1995</f>
        <v>22</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2804</v>
      </c>
      <c r="C1562" s="1818"/>
      <c r="D1562" s="1818"/>
      <c r="E1562" s="1818"/>
      <c r="F1562" s="1934"/>
      <c r="G1562" s="1629"/>
      <c r="H1562" s="1900" t="s">
        <v>4813</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2000</v>
      </c>
      <c r="B1564" s="1844" t="s">
        <v>1883</v>
      </c>
      <c r="C1564" s="1629"/>
      <c r="D1564" s="1830"/>
      <c r="E1564" s="1830"/>
      <c r="F1564" s="1934"/>
      <c r="G1564" s="1629"/>
      <c r="H1564" s="1631" t="s">
        <v>3675</v>
      </c>
      <c r="I1564" s="1629"/>
      <c r="J1564" s="1629"/>
      <c r="K1564" s="1629"/>
      <c r="L1564" s="1629"/>
      <c r="M1564" s="1828"/>
      <c r="N1564" s="1977" t="s">
        <v>2000</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2130</v>
      </c>
      <c r="D1565" s="1830"/>
      <c r="E1565" s="1830"/>
      <c r="F1565" s="1934"/>
      <c r="G1565" s="2022"/>
      <c r="H1565" s="1631" t="s">
        <v>2785</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2002</v>
      </c>
      <c r="B1566" s="1844" t="s">
        <v>734</v>
      </c>
      <c r="C1566" s="1629"/>
      <c r="D1566" s="1830"/>
      <c r="E1566" s="1830"/>
      <c r="F1566" s="1934"/>
      <c r="G1566" s="1629"/>
      <c r="H1566" s="1631" t="s">
        <v>4814</v>
      </c>
      <c r="I1566" s="1629"/>
      <c r="J1566" s="1900"/>
      <c r="K1566" s="1629"/>
      <c r="L1566" s="1629"/>
      <c r="M1566" s="1828"/>
      <c r="N1566" s="1977" t="s">
        <v>2002</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4196</v>
      </c>
      <c r="D1567" s="478"/>
      <c r="E1567" s="478"/>
      <c r="F1567" s="478"/>
      <c r="G1567" s="1900"/>
      <c r="H1567" s="1631" t="s">
        <v>4814</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3873</v>
      </c>
      <c r="B1568" s="1861"/>
      <c r="C1568" s="1861"/>
      <c r="D1568" s="1861"/>
      <c r="E1568" s="1861"/>
      <c r="F1568" s="1934" t="s">
        <v>4199</v>
      </c>
      <c r="G1568" s="1629"/>
      <c r="H1568" s="1629"/>
      <c r="I1568" s="1629"/>
      <c r="J1568" s="1934" t="s">
        <v>4199</v>
      </c>
      <c r="K1568" s="1934"/>
      <c r="L1568" s="1629"/>
      <c r="M1568" s="1629"/>
      <c r="N1568" s="1629"/>
      <c r="O1568" s="478" t="s">
        <v>4199</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3611</v>
      </c>
      <c r="H1569" s="1978"/>
      <c r="I1569" s="1978"/>
      <c r="J1569" s="1837">
        <f>SUM(J1570:J1581)</f>
        <v>0</v>
      </c>
      <c r="K1569" s="1933" t="s">
        <v>3395</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2926</v>
      </c>
      <c r="K1572" s="1707">
        <f>'Part IX A-Scoring Criteria'!K18</f>
        <v>3</v>
      </c>
      <c r="L1572" s="1707">
        <f>'Part IX A-Scoring Criteria'!L18</f>
        <v>0</v>
      </c>
      <c r="M1572" s="1707">
        <f>'Part IX A-Scoring Criteria'!M18</f>
        <v>0</v>
      </c>
      <c r="N1572" s="1707">
        <f>'Part IX A-Scoring Criteria'!N18</f>
        <v>0</v>
      </c>
      <c r="O1572" s="2011" t="s">
        <v>2926</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2926</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3612</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3613</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3614</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3615</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4815</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4200</v>
      </c>
      <c r="B1583" s="478" t="s">
        <v>4201</v>
      </c>
      <c r="C1583" s="478"/>
      <c r="D1583" s="478"/>
      <c r="E1583" s="1748" t="s">
        <v>4228</v>
      </c>
      <c r="F1583" s="478" t="s">
        <v>4227</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409.5">
      <c r="A1584" s="2036" t="s">
        <v>750</v>
      </c>
      <c r="B1584" s="2037" t="s">
        <v>4202</v>
      </c>
      <c r="C1584" s="1707"/>
      <c r="D1584" s="1707"/>
      <c r="E1584" s="2038">
        <f>'Part IX A-Scoring Criteria'!E30</f>
        <v>10</v>
      </c>
      <c r="F1584" s="1941" t="str">
        <f>'Part IX A-Scoring Criteria'!F30</f>
        <v xml:space="preserve">Applicant claims 10 points in this category for the following desirable activities/characteristics that are within a 1.5 mile walking/driving distance from the site: Publix Super Market, Columbus Public Library, Rigdon Road Elementary, Synovus Bank and the Columbus Fire &amp; EMS Station.  Desirables that are within a .5 mile walking/driving distance from the site are: Renal Associates, LLC, Chick-fil-A, New Testament Christian Center Church, United States Postal Service and Walgreens. See TAB 27 for details.    There are no undesirable activities/characteristics located within  1/4 th mile radius from the site.    </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4203</v>
      </c>
      <c r="C1585" s="1707"/>
      <c r="D1585" s="1707"/>
      <c r="E1585" s="2038">
        <f>'Part IX A-Scoring Criteria'!E31</f>
        <v>3</v>
      </c>
      <c r="F1585" s="1941" t="str">
        <f>'Part IX A-Scoring Criteria'!F31</f>
        <v>Applicant is claiming 3 points for Exceptional Sustainable Building Certification.  Applicant commits to achieving 10 additional points over minimum in the Enterprise Foundation Green Communities certification program (following Enterprise Green Communities protocol under the guidance of an Enterprise Qualified TA provider).  A draft scoring sheet showing how  this project's score meets at least the minimum score required is located in TAB 29.  10 additional points over the minimum score would be 45 points and the scoring sheet reflects the anticipated score at 52 points.</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Some Applicant Scoring Justification boxes are empty! Check to see if points claimed.</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4204</v>
      </c>
      <c r="C1586" s="1707"/>
      <c r="D1586" s="1707"/>
      <c r="E1586" s="2038">
        <f>'Part IX A-Scoring Criteria'!E32</f>
        <v>3</v>
      </c>
      <c r="F1586" s="1941" t="str">
        <f>'Part IX A-Scoring Criteria'!F32</f>
        <v>Applicant is taking points because Grayling Place is located in the attendance zone of Hardaway High School, a High Performing School in Muscogee County according to Georgia's performance evaluation system (CCRPI).  The school serves at least 3 grades per QAP requirements.   Applicant is also taking points here because the location of this site exceeds the mimimum jobs threhold by 50%.  See Tab 31 for school district map and letter.</v>
      </c>
      <c r="G1586" s="1941"/>
      <c r="H1586" s="1941"/>
      <c r="I1586" s="1941"/>
      <c r="J1586" s="1941"/>
      <c r="K1586" s="1941"/>
      <c r="L1586" s="1941"/>
      <c r="M1586" s="1941"/>
      <c r="N1586" s="1941"/>
      <c r="O1586" s="1978" t="s">
        <v>2926</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4205</v>
      </c>
      <c r="C1587" s="1707"/>
      <c r="D1587" s="1707"/>
      <c r="E1587" s="2038">
        <f>'Part IX A-Scoring Criteria'!E33</f>
        <v>0</v>
      </c>
      <c r="F1587" s="1941">
        <f>'Part IX A-Scoring Criteria'!F33</f>
        <v>0</v>
      </c>
      <c r="G1587" s="1941"/>
      <c r="H1587" s="1941"/>
      <c r="I1587" s="1941"/>
      <c r="J1587" s="1941"/>
      <c r="K1587" s="1941"/>
      <c r="L1587" s="1941"/>
      <c r="M1587" s="1941"/>
      <c r="N1587" s="1941"/>
      <c r="O1587" s="1978" t="s">
        <v>2926</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4206</v>
      </c>
      <c r="C1588" s="1707"/>
      <c r="D1588" s="1707"/>
      <c r="E1588" s="2039" t="str">
        <f>'Part IX A-Scoring Criteria'!E34</f>
        <v>n/a</v>
      </c>
      <c r="F1588" s="1941" t="str">
        <f>'Part IX A-Scoring Criteria'!F34</f>
        <v>Applicant is not claiming points in this section.</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3819</v>
      </c>
      <c r="C1589" s="1707"/>
      <c r="D1589" s="1707"/>
      <c r="E1589" s="2038">
        <f>'Part IX A-Scoring Criteria'!E35</f>
        <v>0</v>
      </c>
      <c r="F1589" s="1941" t="str">
        <f>'Part IX A-Scoring Criteria'!F35</f>
        <v xml:space="preserve">Applicant is not claiming points in this section.  </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2268</v>
      </c>
      <c r="B1590" s="2037" t="s">
        <v>4207</v>
      </c>
      <c r="C1590" s="1707"/>
      <c r="D1590" s="1707"/>
      <c r="E1590" s="2039">
        <f>'Part IX A-Scoring Criteria'!E36</f>
        <v>1</v>
      </c>
      <c r="F1590" s="1941" t="str">
        <f>'Part IX A-Scoring Criteria'!F36</f>
        <v>Applicant is claiming the Priority point on this application.  This is the only application in which Project Team members have a direct /indirect interest.</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4516</v>
      </c>
      <c r="B1591" s="2037" t="s">
        <v>4517</v>
      </c>
      <c r="C1591" s="1707"/>
      <c r="D1591" s="1707"/>
      <c r="E1591" s="2039">
        <f>'Part IX A-Scoring Criteria'!E37</f>
        <v>3</v>
      </c>
      <c r="F1591" s="1941" t="str">
        <f>'Part IX A-Scoring Criteria'!F37</f>
        <v>Applicant is taking points in this section because Grayling Place is not within a 1-mile radius of a 9% Georgia Housing Credit development that has received an award in the last six (6) DCA competitive funding cycles.</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4153</v>
      </c>
      <c r="B1592" s="2037" t="s">
        <v>4208</v>
      </c>
      <c r="C1592" s="1707"/>
      <c r="D1592" s="1707"/>
      <c r="E1592" s="2038">
        <f>'Part IX A-Scoring Criteria'!E38</f>
        <v>0</v>
      </c>
      <c r="F1592" s="1941" t="str">
        <f>'Part IX A-Scoring Criteria'!F38</f>
        <v>Applicant is not claiming points in this section.</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4154</v>
      </c>
      <c r="B1593" s="2037" t="s">
        <v>4209</v>
      </c>
      <c r="C1593" s="1707"/>
      <c r="D1593" s="1707"/>
      <c r="E1593" s="2038">
        <f>'Part IX A-Scoring Criteria'!E39</f>
        <v>0</v>
      </c>
      <c r="F1593" s="1941" t="str">
        <f>'Part IX A-Scoring Criteria'!F39</f>
        <v>Applicant is not claiming points in this section.</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4152</v>
      </c>
      <c r="B1594" s="2037" t="s">
        <v>4210</v>
      </c>
      <c r="C1594" s="1707"/>
      <c r="D1594" s="1707"/>
      <c r="E1594" s="2038">
        <f>'Part IX A-Scoring Criteria'!E40</f>
        <v>2</v>
      </c>
      <c r="F1594" s="1941" t="str">
        <f>'Part IX A-Scoring Criteria'!F40</f>
        <v>Applicant agrees to accept Section 811 project based rental assistance or other DCA offered rental assistance for up to 10% of the units for the purpose of providing integrated housing opportunities to persons with disabilities. Applicant is eligible for these points because at 10% of the low-income units in the Application are one bedroom units.  The Applicant is willing to accept Assistance set for 50% AMI tenants.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4155</v>
      </c>
      <c r="B1595" s="2037" t="s">
        <v>4211</v>
      </c>
      <c r="C1595" s="1707"/>
      <c r="D1595" s="1707"/>
      <c r="E1595" s="2039">
        <f>'Part IX A-Scoring Criteria'!E41</f>
        <v>0</v>
      </c>
      <c r="F1595" s="1941" t="str">
        <f>'Part IX A-Scoring Criteria'!F41</f>
        <v>Applicant is not claiming points in this section.</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3616</v>
      </c>
      <c r="C1597" s="2040"/>
      <c r="D1597" s="2040"/>
      <c r="E1597" s="478"/>
      <c r="F1597" s="2040"/>
      <c r="G1597" s="1933"/>
      <c r="H1597" s="478"/>
      <c r="I1597" s="2041" t="s">
        <v>3514</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2000</v>
      </c>
      <c r="B1599" s="2045" t="s">
        <v>2643</v>
      </c>
      <c r="C1599" s="2022"/>
      <c r="D1599" s="2022"/>
      <c r="E1599" s="478"/>
      <c r="F1599" s="2022"/>
      <c r="G1599" s="1894"/>
      <c r="H1599" s="1792" t="s">
        <v>3617</v>
      </c>
      <c r="I1599" s="1792"/>
      <c r="J1599" s="2044">
        <f>'Part VI-Revenues &amp; Expenses'!$O$60</f>
        <v>84</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3618</v>
      </c>
      <c r="C1600" s="1792"/>
      <c r="D1600" s="1792"/>
      <c r="E1600" s="1792"/>
      <c r="F1600" s="1792"/>
      <c r="G1600" s="1978"/>
      <c r="H1600" s="2047" t="s">
        <v>3619</v>
      </c>
      <c r="I1600" s="2047" t="s">
        <v>3620</v>
      </c>
      <c r="J1600" s="1978"/>
      <c r="K1600" s="478" t="s">
        <v>3397</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3744</v>
      </c>
      <c r="H1601" s="1901"/>
      <c r="I1601" s="1901"/>
      <c r="J1601" s="1901"/>
      <c r="K1601" s="1767" t="s">
        <v>3619</v>
      </c>
      <c r="L1601" s="1767" t="s">
        <v>3620</v>
      </c>
      <c r="M1601" s="1836">
        <v>2</v>
      </c>
      <c r="N1601" s="2048" t="s">
        <v>2000</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2003</v>
      </c>
      <c r="C1602" s="2052">
        <v>0.15</v>
      </c>
      <c r="D1602" s="1961" t="s">
        <v>3396</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2003</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3367</v>
      </c>
      <c r="B1603" s="2051" t="s">
        <v>2005</v>
      </c>
      <c r="C1603" s="2052">
        <v>0.2</v>
      </c>
      <c r="D1603" s="1961" t="s">
        <v>3396</v>
      </c>
      <c r="E1603" s="2053"/>
      <c r="F1603" s="2053"/>
      <c r="G1603" s="2053"/>
      <c r="H1603" s="2054">
        <f>'Part IX A-Scoring Criteria'!H49</f>
        <v>17</v>
      </c>
      <c r="I1603" s="2054">
        <f>'Part IX A-Scoring Criteria'!I49</f>
        <v>0</v>
      </c>
      <c r="J1603" s="2053"/>
      <c r="K1603" s="1983">
        <f>'Part IX A-Scoring Criteria'!K49</f>
        <v>0.20238095238095238</v>
      </c>
      <c r="L1603" s="1983">
        <f>'Part IX A-Scoring Criteria'!L49</f>
        <v>0</v>
      </c>
      <c r="M1603" s="1831">
        <v>2</v>
      </c>
      <c r="N1603" s="2048" t="s">
        <v>2005</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2002</v>
      </c>
      <c r="B1605" s="2045" t="s">
        <v>4816</v>
      </c>
      <c r="C1605" s="2053"/>
      <c r="D1605" s="2053"/>
      <c r="E1605" s="1999"/>
      <c r="F1605" s="2053"/>
      <c r="G1605" s="2053"/>
      <c r="H1605" s="1901" t="s">
        <v>3679</v>
      </c>
      <c r="I1605" s="1901"/>
      <c r="J1605" s="2053"/>
      <c r="K1605" s="2053"/>
      <c r="L1605" s="2053"/>
      <c r="M1605" s="1836">
        <v>3</v>
      </c>
      <c r="N1605" s="1987" t="s">
        <v>2002</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2003</v>
      </c>
      <c r="C1606" s="2052">
        <v>0.3</v>
      </c>
      <c r="D1606" s="1961" t="s">
        <v>3678</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2003</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2005</v>
      </c>
      <c r="C1607" s="2010" t="s">
        <v>3994</v>
      </c>
      <c r="D1607" s="2053"/>
      <c r="E1607" s="2056"/>
      <c r="F1607" s="2010"/>
      <c r="G1607" s="2053"/>
      <c r="H1607" s="2053"/>
      <c r="I1607" s="2017"/>
      <c r="J1607" s="2017"/>
      <c r="K1607" s="2017"/>
      <c r="L1607" s="2017"/>
      <c r="M1607" s="2017"/>
      <c r="N1607" s="2048" t="s">
        <v>2005</v>
      </c>
      <c r="O1607" s="1942" t="str">
        <f>'Part IX A-Scoring Criteria'!O53</f>
        <v>No</v>
      </c>
      <c r="P1607" s="1942">
        <f>'Part IX A-Scoring Criteria'!P53</f>
        <v>0</v>
      </c>
      <c r="Q1607" s="2053"/>
      <c r="R1607" s="2053"/>
      <c r="S1607" s="2053"/>
      <c r="T1607" s="2053"/>
      <c r="U1607" s="2053"/>
      <c r="V1607" s="2053"/>
      <c r="W1607" s="2053"/>
      <c r="X1607" s="2053"/>
      <c r="Y1607" s="2053"/>
      <c r="Z1607" s="2053"/>
    </row>
    <row r="1608" spans="1:26" ht="15">
      <c r="A1608" s="1629"/>
      <c r="B1608" s="1900" t="s">
        <v>1881</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4148</v>
      </c>
      <c r="C1611" s="2022"/>
      <c r="D1611" s="2058"/>
      <c r="E1611" s="2022"/>
      <c r="F1611" s="2022"/>
      <c r="G1611" s="2022"/>
      <c r="H1611" s="2022"/>
      <c r="I1611" s="1792" t="s">
        <v>3797</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3885</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2000</v>
      </c>
      <c r="B1614" s="1844" t="s">
        <v>1889</v>
      </c>
      <c r="C1614" s="1818"/>
      <c r="D1614" s="1818"/>
      <c r="E1614" s="2022"/>
      <c r="F1614" s="1622"/>
      <c r="G1614" s="1631" t="s">
        <v>2738</v>
      </c>
      <c r="H1614" s="2022"/>
      <c r="I1614" s="1861" t="s">
        <v>4817</v>
      </c>
      <c r="J1614" s="1861"/>
      <c r="K1614" s="1861"/>
      <c r="L1614" s="1861"/>
      <c r="M1614" s="1828">
        <v>10</v>
      </c>
      <c r="N1614" s="2059" t="s">
        <v>2000</v>
      </c>
      <c r="O1614" s="2060">
        <f>'Part IX A-Scoring Criteria'!O60</f>
        <v>10</v>
      </c>
      <c r="P1614" s="2060">
        <f>'Part IX A-Scoring Criteria'!P60</f>
        <v>0</v>
      </c>
      <c r="Q1614" s="2061" t="str">
        <f>IF(OR($O1614=$M1614,$O1614=0,$O1614=""),"","*CHECK!*")</f>
        <v/>
      </c>
      <c r="R1614" s="2062" t="s">
        <v>2726</v>
      </c>
      <c r="S1614" s="2022"/>
      <c r="T1614" s="2022"/>
      <c r="U1614" s="2022"/>
      <c r="V1614" s="2022"/>
      <c r="W1614" s="2022"/>
      <c r="X1614" s="2022"/>
      <c r="Y1614" s="2022"/>
      <c r="Z1614" s="2022"/>
    </row>
    <row r="1615" spans="1:26" ht="16.5">
      <c r="A1615" s="1855" t="s">
        <v>2002</v>
      </c>
      <c r="B1615" s="1844" t="s">
        <v>3874</v>
      </c>
      <c r="C1615" s="2022"/>
      <c r="D1615" s="2058"/>
      <c r="E1615" s="2022"/>
      <c r="F1615" s="2063"/>
      <c r="G1615" s="1631" t="s">
        <v>4026</v>
      </c>
      <c r="H1615" s="2022"/>
      <c r="I1615" s="1861"/>
      <c r="J1615" s="1861"/>
      <c r="K1615" s="1861"/>
      <c r="L1615" s="1861"/>
      <c r="M1615" s="1934" t="s">
        <v>1250</v>
      </c>
      <c r="N1615" s="1977" t="s">
        <v>2002</v>
      </c>
      <c r="O1615" s="2060">
        <f>'Part IX A-Scoring Criteria'!O61</f>
        <v>0</v>
      </c>
      <c r="P1615" s="2060">
        <f>'Part IX A-Scoring Criteria'!P61</f>
        <v>0</v>
      </c>
      <c r="Q1615" s="2022"/>
      <c r="R1615" s="2062" t="s">
        <v>2726</v>
      </c>
      <c r="S1615" s="2022"/>
      <c r="T1615" s="2022"/>
      <c r="U1615" s="2022"/>
      <c r="V1615" s="2022"/>
      <c r="W1615" s="2022"/>
      <c r="X1615" s="2022"/>
      <c r="Y1615" s="2022"/>
      <c r="Z1615" s="2022"/>
    </row>
    <row r="1616" spans="1:26" ht="15">
      <c r="A1616" s="1629"/>
      <c r="B1616" s="2041" t="s">
        <v>3782</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 xml:space="preserve">Applicant claims 10 points in this category for the following desirable activities/characteristics that are within a 1.5 mile walking/driving distance from the site: Publix Super Market, Columbus Public Library, Rigdon Road Elementary, Synovus Bank and the Columbus Fire &amp; EMS Station.  Desirables that are within a .5 mile walking/driving distance from the site are: Renal Associates, LLC, Chick-fil-A, New Testament Christian Center Church, United States Postal Service and Walgreens. See TAB 27 for details.    There are no undesirable activities/characteristics located within  1/4 th mile radius from the site.    </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1881</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2649</v>
      </c>
      <c r="C1621" s="2022"/>
      <c r="D1621" s="2058"/>
      <c r="E1621" s="2022"/>
      <c r="F1621" s="2022"/>
      <c r="G1621" s="2022"/>
      <c r="H1621" s="2022"/>
      <c r="I1621" s="2022"/>
      <c r="J1621" s="2022"/>
      <c r="K1621" s="2064" t="s">
        <v>1895</v>
      </c>
      <c r="L1621" s="2022"/>
      <c r="M1621" s="1837">
        <v>6</v>
      </c>
      <c r="N1621" s="1977"/>
      <c r="O1621" s="2021">
        <f>'Part IX A-Scoring Criteria'!O67</f>
        <v>3</v>
      </c>
      <c r="P1621" s="2021">
        <f>'Part IX A-Scoring Criteria'!P67</f>
        <v>0</v>
      </c>
      <c r="Q1621" s="1837" t="s">
        <v>443</v>
      </c>
      <c r="R1621" s="2065" t="s">
        <v>4818</v>
      </c>
      <c r="S1621" s="2065"/>
      <c r="T1621" s="2065"/>
      <c r="U1621" s="2065"/>
      <c r="V1621" s="2022"/>
      <c r="W1621" s="2022"/>
      <c r="X1621" s="2022"/>
      <c r="Y1621" s="2022"/>
      <c r="Z1621" s="2022"/>
    </row>
    <row r="1622" spans="1:26" ht="15">
      <c r="A1622" s="2023"/>
      <c r="B1622" s="1830" t="s">
        <v>3997</v>
      </c>
      <c r="C1622" s="2022"/>
      <c r="D1622" s="2058"/>
      <c r="E1622" s="2022"/>
      <c r="F1622" s="2022"/>
      <c r="G1622" s="2022"/>
      <c r="H1622" s="1844" t="s">
        <v>2814</v>
      </c>
      <c r="I1622" s="1879"/>
      <c r="J1622" s="1844" t="str">
        <f>'Part I-Project Information'!$H$100</f>
        <v>Flexible</v>
      </c>
      <c r="K1622" s="1830"/>
      <c r="L1622" s="2022"/>
      <c r="M1622" s="1837"/>
      <c r="N1622" s="1977"/>
      <c r="O1622" s="2066" t="s">
        <v>3622</v>
      </c>
      <c r="P1622" s="2066" t="s">
        <v>3623</v>
      </c>
      <c r="Q1622" s="1837"/>
      <c r="R1622" s="2065"/>
      <c r="S1622" s="2065"/>
      <c r="T1622" s="2065"/>
      <c r="U1622" s="2065"/>
      <c r="V1622" s="2022"/>
      <c r="W1622" s="2022"/>
      <c r="X1622" s="2022"/>
      <c r="Y1622" s="2022"/>
      <c r="Z1622" s="2022"/>
    </row>
    <row r="1623" spans="1:26" ht="15">
      <c r="A1623" s="2023"/>
      <c r="B1623" s="2067" t="s">
        <v>2003</v>
      </c>
      <c r="C1623" s="1156" t="s">
        <v>3621</v>
      </c>
      <c r="D1623" s="2058"/>
      <c r="E1623" s="2022"/>
      <c r="F1623" s="2022"/>
      <c r="G1623" s="2022"/>
      <c r="H1623" s="2041"/>
      <c r="I1623" s="1900"/>
      <c r="J1623" s="1830"/>
      <c r="K1623" s="1830"/>
      <c r="L1623" s="2022"/>
      <c r="M1623" s="1837"/>
      <c r="N1623" s="1977"/>
      <c r="O1623" s="1942">
        <f>'Part IX A-Scoring Criteria'!O69</f>
        <v>0</v>
      </c>
      <c r="P1623" s="1942">
        <f>'Part IX A-Scoring Criteria'!P69</f>
        <v>0</v>
      </c>
      <c r="Q1623" s="1837"/>
      <c r="R1623" s="2065"/>
      <c r="S1623" s="2065"/>
      <c r="T1623" s="2065"/>
      <c r="U1623" s="2065"/>
      <c r="V1623" s="2022"/>
      <c r="W1623" s="2022"/>
      <c r="X1623" s="2022"/>
      <c r="Y1623" s="2022"/>
      <c r="Z1623" s="2022"/>
    </row>
    <row r="1624" spans="1:26" ht="15">
      <c r="A1624" s="2023"/>
      <c r="B1624" s="2067" t="s">
        <v>2005</v>
      </c>
      <c r="C1624" s="1156" t="s">
        <v>3995</v>
      </c>
      <c r="D1624" s="2058"/>
      <c r="E1624" s="2022"/>
      <c r="F1624" s="2022"/>
      <c r="G1624" s="2022"/>
      <c r="H1624" s="2041"/>
      <c r="I1624" s="1900"/>
      <c r="J1624" s="1830"/>
      <c r="K1624" s="1830"/>
      <c r="L1624" s="2022"/>
      <c r="M1624" s="2022"/>
      <c r="N1624" s="1977"/>
      <c r="O1624" s="1942">
        <f>'Part IX A-Scoring Criteria'!O70</f>
        <v>0</v>
      </c>
      <c r="P1624" s="1942">
        <f>'Part IX A-Scoring Criteria'!P70</f>
        <v>0</v>
      </c>
      <c r="Q1624" s="1837"/>
      <c r="R1624" s="2065"/>
      <c r="S1624" s="2065"/>
      <c r="T1624" s="2065"/>
      <c r="U1624" s="2065"/>
      <c r="V1624" s="2022"/>
      <c r="W1624" s="2022"/>
      <c r="X1624" s="2022"/>
      <c r="Y1624" s="2022"/>
      <c r="Z1624" s="2022"/>
    </row>
    <row r="1625" spans="1:26" ht="15">
      <c r="A1625" s="2023"/>
      <c r="B1625" s="2067" t="s">
        <v>2552</v>
      </c>
      <c r="C1625" s="1156" t="s">
        <v>3996</v>
      </c>
      <c r="D1625" s="2058"/>
      <c r="E1625" s="2022"/>
      <c r="F1625" s="2022"/>
      <c r="G1625" s="2022"/>
      <c r="H1625" s="2041"/>
      <c r="I1625" s="1900"/>
      <c r="J1625" s="1830"/>
      <c r="K1625" s="1830"/>
      <c r="L1625" s="2022"/>
      <c r="M1625" s="2022"/>
      <c r="N1625" s="1977"/>
      <c r="O1625" s="1942">
        <f>'Part IX A-Scoring Criteria'!O71</f>
        <v>0</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4004</v>
      </c>
      <c r="C1627" s="2022"/>
      <c r="D1627" s="2058"/>
      <c r="E1627" s="2022"/>
      <c r="F1627" s="1830" t="s">
        <v>3745</v>
      </c>
      <c r="G1627" s="1830"/>
      <c r="H1627" s="1830"/>
      <c r="I1627" s="1830"/>
      <c r="J1627" s="1830" t="s">
        <v>3746</v>
      </c>
      <c r="K1627" s="1830"/>
      <c r="L1627" s="1830"/>
      <c r="M1627" s="1830"/>
      <c r="N1627" s="1977"/>
      <c r="O1627" s="1793" t="s">
        <v>4819</v>
      </c>
      <c r="P1627" s="2068"/>
      <c r="Q1627" s="1837"/>
      <c r="R1627" s="2065"/>
      <c r="S1627" s="2065"/>
      <c r="T1627" s="2065"/>
      <c r="U1627" s="2065"/>
      <c r="V1627" s="2022"/>
      <c r="W1627" s="2022"/>
      <c r="X1627" s="2022"/>
      <c r="Y1627" s="2022"/>
      <c r="Z1627" s="2022"/>
    </row>
    <row r="1628" spans="1:26" ht="15">
      <c r="A1628" s="2023"/>
      <c r="B1628" s="2022"/>
      <c r="C1628" s="1830" t="s">
        <v>4003</v>
      </c>
      <c r="D1628" s="1714"/>
      <c r="E1628" s="1637"/>
      <c r="F1628" s="1641">
        <f>'Part IX A-Scoring Criteria'!F74</f>
        <v>32.473201000000003</v>
      </c>
      <c r="G1628" s="1641">
        <f>'Part IX A-Scoring Criteria'!G74</f>
        <v>0</v>
      </c>
      <c r="H1628" s="1641">
        <f>'Part IX A-Scoring Criteria'!H74</f>
        <v>0</v>
      </c>
      <c r="I1628" s="1641">
        <f>'Part IX A-Scoring Criteria'!I74</f>
        <v>0</v>
      </c>
      <c r="J1628" s="1641">
        <f>'Part IX A-Scoring Criteria'!J74</f>
        <v>-84.954791999999998</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4005</v>
      </c>
      <c r="E1629" s="1637"/>
      <c r="F1629" s="1641">
        <f>'Part IX A-Scoring Criteria'!F75</f>
        <v>32.473880999999999</v>
      </c>
      <c r="G1629" s="1641">
        <f>'Part IX A-Scoring Criteria'!G75</f>
        <v>0</v>
      </c>
      <c r="H1629" s="1641">
        <f>'Part IX A-Scoring Criteria'!H75</f>
        <v>0</v>
      </c>
      <c r="I1629" s="1641">
        <f>'Part IX A-Scoring Criteria'!I75</f>
        <v>0</v>
      </c>
      <c r="J1629" s="1641">
        <f>'Part IX A-Scoring Criteria'!J75</f>
        <v>-84.952663000000001</v>
      </c>
      <c r="K1629" s="1641">
        <f>'Part IX A-Scoring Criteria'!K75</f>
        <v>0</v>
      </c>
      <c r="L1629" s="1641">
        <f>'Part IX A-Scoring Criteria'!L75</f>
        <v>0</v>
      </c>
      <c r="M1629" s="1641">
        <f>'Part IX A-Scoring Criteria'!M75</f>
        <v>0</v>
      </c>
      <c r="N1629" s="1977"/>
      <c r="O1629" s="2069">
        <f>'Part IX A-Scoring Criteria'!O75</f>
        <v>0.2</v>
      </c>
      <c r="P1629" s="2069">
        <f>'Part IX A-Scoring Criteria'!P75</f>
        <v>0</v>
      </c>
      <c r="Q1629" s="1837"/>
      <c r="R1629" s="2065"/>
      <c r="S1629" s="2065"/>
      <c r="T1629" s="2065"/>
      <c r="U1629" s="2065"/>
      <c r="V1629" s="2022"/>
      <c r="W1629" s="2022"/>
      <c r="X1629" s="2022"/>
      <c r="Y1629" s="2022"/>
      <c r="Z1629" s="2022"/>
    </row>
    <row r="1630" spans="1:26" ht="15" customHeight="1">
      <c r="A1630" s="1927" t="s">
        <v>4195</v>
      </c>
      <c r="B1630" s="1927"/>
      <c r="C1630" s="1830" t="s">
        <v>4146</v>
      </c>
      <c r="D1630" s="1714"/>
      <c r="E1630" s="1637"/>
      <c r="F1630" s="1641">
        <f>'Part IX A-Scoring Criteria'!F76</f>
        <v>32.473880999999999</v>
      </c>
      <c r="G1630" s="1641">
        <f>'Part IX A-Scoring Criteria'!G76</f>
        <v>0</v>
      </c>
      <c r="H1630" s="1641">
        <f>'Part IX A-Scoring Criteria'!H76</f>
        <v>0</v>
      </c>
      <c r="I1630" s="1641">
        <f>'Part IX A-Scoring Criteria'!I76</f>
        <v>0</v>
      </c>
      <c r="J1630" s="1641">
        <f>'Part IX A-Scoring Criteria'!J76</f>
        <v>-84.952663000000001</v>
      </c>
      <c r="K1630" s="1641">
        <f>'Part IX A-Scoring Criteria'!K76</f>
        <v>0</v>
      </c>
      <c r="L1630" s="1641">
        <f>'Part IX A-Scoring Criteria'!L76</f>
        <v>0</v>
      </c>
      <c r="M1630" s="1641">
        <f>'Part IX A-Scoring Criteria'!M76</f>
        <v>0</v>
      </c>
      <c r="N1630" s="1977"/>
      <c r="O1630" s="2069">
        <f>'Part IX A-Scoring Criteria'!O76</f>
        <v>0.05</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4144</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2805</v>
      </c>
      <c r="B1633" s="2024"/>
      <c r="C1633" s="2022"/>
      <c r="D1633" s="2058"/>
      <c r="E1633" s="2022"/>
      <c r="F1633" s="2071" t="s">
        <v>4820</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2000</v>
      </c>
      <c r="B1634" s="1844" t="s">
        <v>3775</v>
      </c>
      <c r="C1634" s="2022"/>
      <c r="D1634" s="2058"/>
      <c r="E1634" s="2022"/>
      <c r="F1634" s="2041" t="s">
        <v>4821</v>
      </c>
      <c r="G1634" s="2022"/>
      <c r="H1634" s="2022"/>
      <c r="I1634" s="2072" t="s">
        <v>4822</v>
      </c>
      <c r="J1634" s="2072"/>
      <c r="K1634" s="2072"/>
      <c r="L1634" s="2072"/>
      <c r="M1634" s="1837">
        <v>6</v>
      </c>
      <c r="N1634" s="2048" t="s">
        <v>2000</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2003</v>
      </c>
      <c r="C1635" s="1936" t="s">
        <v>4823</v>
      </c>
      <c r="D1635" s="1936"/>
      <c r="E1635" s="1936"/>
      <c r="F1635" s="1936"/>
      <c r="G1635" s="1936"/>
      <c r="H1635" s="1936"/>
      <c r="I1635" s="2072"/>
      <c r="J1635" s="2072"/>
      <c r="K1635" s="2072"/>
      <c r="L1635" s="2072"/>
      <c r="M1635" s="2075">
        <v>5</v>
      </c>
      <c r="N1635" s="2067" t="s">
        <v>2003</v>
      </c>
      <c r="O1635" s="2060">
        <f>'Part IX A-Scoring Criteria'!O81</f>
        <v>0</v>
      </c>
      <c r="P1635" s="2060">
        <f>'Part IX A-Scoring Criteria'!P81</f>
        <v>0</v>
      </c>
      <c r="Q1635" s="2061" t="str">
        <f>IF(OR($O1635=$M1635,$O1635=0,$O1635=""),"","*CHECK!*")</f>
        <v/>
      </c>
      <c r="R1635" s="2062" t="s">
        <v>2726</v>
      </c>
      <c r="S1635" s="2073"/>
      <c r="T1635" s="2073"/>
      <c r="U1635" s="2073"/>
      <c r="V1635" s="2073"/>
      <c r="W1635" s="2073"/>
      <c r="X1635" s="2073"/>
      <c r="Y1635" s="2073"/>
      <c r="Z1635" s="2073"/>
    </row>
    <row r="1636" spans="1:26" ht="15" customHeight="1">
      <c r="A1636" s="1942" t="s">
        <v>1365</v>
      </c>
      <c r="B1636" s="2074" t="s">
        <v>2005</v>
      </c>
      <c r="C1636" s="1961" t="s">
        <v>4824</v>
      </c>
      <c r="D1636" s="1961"/>
      <c r="E1636" s="1961"/>
      <c r="F1636" s="1961"/>
      <c r="G1636" s="1961"/>
      <c r="H1636" s="1961"/>
      <c r="I1636" s="2072"/>
      <c r="J1636" s="2072"/>
      <c r="K1636" s="2072"/>
      <c r="L1636" s="2072"/>
      <c r="M1636" s="2075">
        <v>4</v>
      </c>
      <c r="N1636" s="2067" t="s">
        <v>2005</v>
      </c>
      <c r="O1636" s="2060">
        <f>'Part IX A-Scoring Criteria'!O82</f>
        <v>0</v>
      </c>
      <c r="P1636" s="2060">
        <f>'Part IX A-Scoring Criteria'!P82</f>
        <v>0</v>
      </c>
      <c r="Q1636" s="2061" t="str">
        <f t="shared" ref="Q1636:Q1637" si="321">IF(OR($O1636=$M1636,$O1636=0,$O1636=""),"","*CHECK!*")</f>
        <v/>
      </c>
      <c r="R1636" s="2062" t="s">
        <v>2726</v>
      </c>
      <c r="S1636" s="2073"/>
      <c r="T1636" s="2073"/>
      <c r="U1636" s="2073"/>
      <c r="V1636" s="2073"/>
      <c r="W1636" s="2073"/>
      <c r="X1636" s="2073"/>
      <c r="Y1636" s="2073"/>
      <c r="Z1636" s="2073"/>
    </row>
    <row r="1637" spans="1:26" ht="15" customHeight="1">
      <c r="A1637" s="2073"/>
      <c r="B1637" s="2074" t="s">
        <v>2552</v>
      </c>
      <c r="C1637" s="1961" t="s">
        <v>3776</v>
      </c>
      <c r="D1637" s="1961"/>
      <c r="E1637" s="1961"/>
      <c r="F1637" s="1961"/>
      <c r="G1637" s="1977" t="s">
        <v>4143</v>
      </c>
      <c r="H1637" s="1969" t="str">
        <f>'Part I-Project Information'!$H$78</f>
        <v>Family</v>
      </c>
      <c r="I1637" s="1707" t="str">
        <f>'Part IX A-Scoring Criteria'!I83</f>
        <v>&lt;&lt; Enter transit agency/service name here &gt;&gt;METRA Transit</v>
      </c>
      <c r="J1637" s="1707">
        <f>'Part IX A-Scoring Criteria'!J83</f>
        <v>0</v>
      </c>
      <c r="K1637" s="1707">
        <f>'Part IX A-Scoring Criteria'!K83</f>
        <v>0</v>
      </c>
      <c r="L1637" s="2076" t="str">
        <f>'Part IX A-Scoring Criteria'!L83</f>
        <v>&lt;Enter phone here&gt;706-225-4581</v>
      </c>
      <c r="M1637" s="2075">
        <v>1</v>
      </c>
      <c r="N1637" s="2067" t="s">
        <v>2552</v>
      </c>
      <c r="O1637" s="2060">
        <f>'Part IX A-Scoring Criteria'!O83</f>
        <v>0</v>
      </c>
      <c r="P1637" s="2060">
        <f>'Part IX A-Scoring Criteria'!P83</f>
        <v>0</v>
      </c>
      <c r="Q1637" s="2061" t="str">
        <f t="shared" si="321"/>
        <v/>
      </c>
      <c r="R1637" s="2062" t="s">
        <v>2726</v>
      </c>
      <c r="S1637" s="2073"/>
      <c r="T1637" s="2073"/>
      <c r="U1637" s="2073"/>
      <c r="V1637" s="2073"/>
      <c r="W1637" s="2073"/>
      <c r="X1637" s="2073"/>
      <c r="Y1637" s="2073"/>
      <c r="Z1637" s="2073"/>
    </row>
    <row r="1638" spans="1:26" ht="15">
      <c r="A1638" s="1976" t="s">
        <v>2002</v>
      </c>
      <c r="B1638" s="2077" t="s">
        <v>3777</v>
      </c>
      <c r="C1638" s="1327"/>
      <c r="D1638" s="1327"/>
      <c r="E1638" s="1327"/>
      <c r="F1638" s="2078" t="s">
        <v>4825</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2002</v>
      </c>
      <c r="O1638" s="1897">
        <f>'Part IX A-Scoring Criteria'!O84</f>
        <v>3</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2003</v>
      </c>
      <c r="C1639" s="1901" t="s">
        <v>4826</v>
      </c>
      <c r="D1639" s="1901"/>
      <c r="E1639" s="1901"/>
      <c r="F1639" s="1901"/>
      <c r="G1639" s="1901"/>
      <c r="H1639" s="1901"/>
      <c r="I1639" s="1707" t="str">
        <f>'Part IX A-Scoring Criteria'!I85</f>
        <v>Schedule:  https://www.columbusga.gov/Metra/routes/Route01.pdf</v>
      </c>
      <c r="J1639" s="1707">
        <f>'Part IX A-Scoring Criteria'!J85</f>
        <v>0</v>
      </c>
      <c r="K1639" s="1707">
        <f>'Part IX A-Scoring Criteria'!K85</f>
        <v>0</v>
      </c>
      <c r="L1639" s="1707">
        <f>'Part IX A-Scoring Criteria'!L85</f>
        <v>0</v>
      </c>
      <c r="M1639" s="2075">
        <v>3</v>
      </c>
      <c r="N1639" s="2067" t="s">
        <v>2003</v>
      </c>
      <c r="O1639" s="2060">
        <f>'Part IX A-Scoring Criteria'!O85</f>
        <v>3</v>
      </c>
      <c r="P1639" s="2060">
        <f>'Part IX A-Scoring Criteria'!P85</f>
        <v>0</v>
      </c>
      <c r="Q1639" s="2061" t="str">
        <f>IF(OR($O1639=$M1639,$O1639=0,$O1639=""),"","*CHECK!*")</f>
        <v/>
      </c>
      <c r="R1639" s="2062" t="s">
        <v>2726</v>
      </c>
      <c r="S1639" s="2073"/>
      <c r="T1639" s="2073"/>
      <c r="U1639" s="2073"/>
      <c r="V1639" s="2073"/>
      <c r="W1639" s="2073"/>
      <c r="X1639" s="2073"/>
      <c r="Y1639" s="2073"/>
      <c r="Z1639" s="2073"/>
    </row>
    <row r="1640" spans="1:26" ht="15" customHeight="1">
      <c r="A1640" s="1988" t="s">
        <v>1365</v>
      </c>
      <c r="B1640" s="2074" t="s">
        <v>2005</v>
      </c>
      <c r="C1640" s="1901" t="s">
        <v>4827</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2005</v>
      </c>
      <c r="O1640" s="2060">
        <f>'Part IX A-Scoring Criteria'!O86</f>
        <v>0</v>
      </c>
      <c r="P1640" s="2060">
        <f>'Part IX A-Scoring Criteria'!P86</f>
        <v>0</v>
      </c>
      <c r="Q1640" s="2061" t="str">
        <f t="shared" ref="Q1640:Q1641" si="322">IF(OR($O1640=$M1640,$O1640=0,$O1640=""),"","*CHECK!*")</f>
        <v/>
      </c>
      <c r="R1640" s="2062" t="s">
        <v>2726</v>
      </c>
      <c r="S1640" s="2022"/>
      <c r="T1640" s="2022"/>
      <c r="U1640" s="2022"/>
      <c r="V1640" s="2022"/>
      <c r="W1640" s="2022"/>
      <c r="X1640" s="2022"/>
      <c r="Y1640" s="2022"/>
      <c r="Z1640" s="2022"/>
    </row>
    <row r="1641" spans="1:26" ht="15" customHeight="1">
      <c r="A1641" s="1988" t="s">
        <v>1365</v>
      </c>
      <c r="B1641" s="2074" t="s">
        <v>2552</v>
      </c>
      <c r="C1641" s="1936" t="s">
        <v>4828</v>
      </c>
      <c r="D1641" s="1936"/>
      <c r="E1641" s="1936"/>
      <c r="F1641" s="1936"/>
      <c r="G1641" s="1936"/>
      <c r="H1641" s="1936"/>
      <c r="I1641" s="1707" t="str">
        <f>'Part IX A-Scoring Criteria'!I87</f>
        <v xml:space="preserve"> Route:  https://www.columbusga.gov/Metra/routes/Route01.pdf</v>
      </c>
      <c r="J1641" s="1707">
        <f>'Part IX A-Scoring Criteria'!J87</f>
        <v>0</v>
      </c>
      <c r="K1641" s="1707">
        <f>'Part IX A-Scoring Criteria'!K87</f>
        <v>0</v>
      </c>
      <c r="L1641" s="1707">
        <f>'Part IX A-Scoring Criteria'!L87</f>
        <v>0</v>
      </c>
      <c r="M1641" s="2075">
        <v>1</v>
      </c>
      <c r="N1641" s="2067" t="s">
        <v>2552</v>
      </c>
      <c r="O1641" s="2060">
        <f>'Part IX A-Scoring Criteria'!O87</f>
        <v>0</v>
      </c>
      <c r="P1641" s="2060">
        <f>'Part IX A-Scoring Criteria'!P87</f>
        <v>0</v>
      </c>
      <c r="Q1641" s="2061" t="str">
        <f t="shared" si="322"/>
        <v/>
      </c>
      <c r="R1641" s="2062" t="s">
        <v>2726</v>
      </c>
      <c r="S1641" s="2022"/>
      <c r="T1641" s="2022"/>
      <c r="U1641" s="2022"/>
      <c r="V1641" s="2022"/>
      <c r="W1641" s="2022"/>
      <c r="X1641" s="2022"/>
      <c r="Y1641" s="2022"/>
      <c r="Z1641" s="2022"/>
    </row>
    <row r="1642" spans="1:26" ht="15">
      <c r="A1642" s="2070" t="s">
        <v>2807</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4829</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2726</v>
      </c>
      <c r="S1643" s="2040"/>
      <c r="T1643" s="2040"/>
      <c r="U1643" s="2040"/>
      <c r="V1643" s="2040"/>
      <c r="W1643" s="2040"/>
      <c r="X1643" s="2040"/>
      <c r="Y1643" s="2040"/>
      <c r="Z1643" s="2040"/>
    </row>
    <row r="1644" spans="1:26" ht="15">
      <c r="A1644" s="478" t="s">
        <v>4830</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1881</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3</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4831</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Enterprise Foundation Green Communities - 10 Pts &gt; Min</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2814</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4007</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4012</v>
      </c>
      <c r="D1653" s="2085"/>
      <c r="E1653" s="2085"/>
      <c r="F1653" s="2085"/>
      <c r="G1653" s="2085"/>
      <c r="H1653" s="2085"/>
      <c r="I1653" s="2021">
        <f>'Part IX A-Scoring Criteria'!I99</f>
        <v>35</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4013</v>
      </c>
      <c r="D1654" s="2085"/>
      <c r="E1654" s="2085"/>
      <c r="F1654" s="2085"/>
      <c r="G1654" s="2085"/>
      <c r="H1654" s="2085"/>
      <c r="I1654" s="2021">
        <f>'Part IX A-Scoring Criteria'!I100</f>
        <v>52</v>
      </c>
      <c r="J1654" s="2021">
        <f>'Part IX A-Scoring Criteria'!J100</f>
        <v>0</v>
      </c>
      <c r="K1654" s="1876"/>
      <c r="L1654" s="2085"/>
      <c r="M1654" s="2085"/>
      <c r="N1654" s="2085"/>
      <c r="O1654" s="2085" t="s">
        <v>4021</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2000</v>
      </c>
      <c r="B1656" s="1844" t="s">
        <v>4832</v>
      </c>
      <c r="D1656" s="1629"/>
      <c r="K1656" s="1799" t="str">
        <f>IF(OR(AND(O1656&gt;0,O1657&gt;0),AND(O1657&gt;0,O1658&gt;0),AND(O1656&gt;0,O1658&gt;0)),"Choose A, B, or C.  See instructions.",IF(AND(O1658&gt;0,O1659&gt;0),"Choose A or B when choosing D.  See instructions.",""))</f>
        <v/>
      </c>
      <c r="L1656" s="1799"/>
      <c r="M1656" s="2075">
        <v>2</v>
      </c>
      <c r="N1656" s="1977" t="s">
        <v>2000</v>
      </c>
      <c r="O1656" s="2060">
        <f>'Part IX A-Scoring Criteria'!O102</f>
        <v>0</v>
      </c>
      <c r="P1656" s="2060">
        <f>'Part IX A-Scoring Criteria'!P102</f>
        <v>0</v>
      </c>
      <c r="Q1656" s="2061" t="str">
        <f>IF(OR($O1656=$M1656,$O1656=0,$O1656=""),"","*CHECK!*")</f>
        <v/>
      </c>
      <c r="R1656" s="2062" t="s">
        <v>2726</v>
      </c>
    </row>
    <row r="1657" spans="1:26" ht="13.5" customHeight="1">
      <c r="A1657" s="1855" t="s">
        <v>2002</v>
      </c>
      <c r="B1657" s="1844" t="s">
        <v>312</v>
      </c>
      <c r="D1657" s="1629"/>
      <c r="E1657" s="1629"/>
      <c r="K1657" s="1799"/>
      <c r="L1657" s="1799"/>
      <c r="M1657" s="2075">
        <v>1</v>
      </c>
      <c r="N1657" s="1977" t="s">
        <v>2002</v>
      </c>
      <c r="O1657" s="2060">
        <f>'Part IX A-Scoring Criteria'!O103</f>
        <v>0</v>
      </c>
      <c r="P1657" s="2060">
        <f>'Part IX A-Scoring Criteria'!P103</f>
        <v>0</v>
      </c>
      <c r="Q1657" s="2061" t="str">
        <f t="shared" ref="Q1657:Q1659" si="323">IF(OR($O1657=$M1657,$O1657=0,$O1657=""),"","*CHECK!*")</f>
        <v/>
      </c>
      <c r="R1657" s="2062" t="s">
        <v>2726</v>
      </c>
    </row>
    <row r="1658" spans="1:26" ht="13.5" customHeight="1">
      <c r="A1658" s="1855" t="s">
        <v>757</v>
      </c>
      <c r="B1658" s="1844" t="s">
        <v>4833</v>
      </c>
      <c r="D1658" s="1629"/>
      <c r="E1658" s="1629"/>
      <c r="F1658" s="1629"/>
      <c r="K1658" s="1799"/>
      <c r="L1658" s="1799"/>
      <c r="M1658" s="2075">
        <v>3</v>
      </c>
      <c r="N1658" s="1977" t="s">
        <v>757</v>
      </c>
      <c r="O1658" s="2060">
        <f>'Part IX A-Scoring Criteria'!O104</f>
        <v>3</v>
      </c>
      <c r="P1658" s="2060">
        <f>'Part IX A-Scoring Criteria'!P104</f>
        <v>0</v>
      </c>
      <c r="Q1658" s="2061" t="str">
        <f t="shared" si="323"/>
        <v/>
      </c>
      <c r="R1658" s="2062" t="s">
        <v>2726</v>
      </c>
    </row>
    <row r="1659" spans="1:26" ht="13.5" customHeight="1">
      <c r="A1659" s="1855" t="s">
        <v>2132</v>
      </c>
      <c r="B1659" s="1844" t="s">
        <v>3806</v>
      </c>
      <c r="D1659" s="1629"/>
      <c r="E1659" s="1629"/>
      <c r="F1659" s="478" t="s">
        <v>4023</v>
      </c>
      <c r="J1659" s="1837" t="str">
        <f>'Part IX A-Scoring Criteria'!J105</f>
        <v>&lt;Select &gt;</v>
      </c>
      <c r="K1659" s="1799"/>
      <c r="L1659" s="1799"/>
      <c r="M1659" s="2075">
        <v>1</v>
      </c>
      <c r="N1659" s="1977" t="s">
        <v>2132</v>
      </c>
      <c r="O1659" s="2060">
        <f>'Part IX A-Scoring Criteria'!O105</f>
        <v>0</v>
      </c>
      <c r="P1659" s="2060">
        <f>'Part IX A-Scoring Criteria'!P105</f>
        <v>0</v>
      </c>
      <c r="Q1659" s="2061" t="str">
        <f t="shared" si="323"/>
        <v/>
      </c>
      <c r="R1659" s="2062" t="s">
        <v>2726</v>
      </c>
    </row>
    <row r="1660" spans="1:26" ht="15">
      <c r="A1660" s="1629"/>
      <c r="B1660" s="2041" t="s">
        <v>3782</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409.5">
      <c r="A1661" s="1707" t="str">
        <f>'Part IX A-Scoring Criteria'!A107</f>
        <v>Applicant is claiming 3 points for Exceptional Sustainable Building Certification.  Applicant commits to achieving 10 additional points over minimum in the Enterprise Foundation Green Communities certification program (following Enterprise Green Communities protocol under the guidance of an Enterprise Qualified TA provider).  A draft scoring sheet showing how  this project's score meets at least the minimum score required is located in TAB 29.  10 additional points over the minimum score would be 45 points and the scoring sheet reflects the anticipated score at 52 points.</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1881</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4024</v>
      </c>
      <c r="C1665" s="2022"/>
      <c r="D1665" s="478"/>
      <c r="E1665" s="478"/>
      <c r="F1665" s="1837"/>
      <c r="G1665" s="1837"/>
      <c r="H1665" s="1837"/>
      <c r="I1665" s="2071" t="s">
        <v>4820</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2000</v>
      </c>
      <c r="B1667" s="1844" t="s">
        <v>4025</v>
      </c>
      <c r="C1667" s="2040"/>
      <c r="D1667" s="2058"/>
      <c r="E1667" s="1156" t="s">
        <v>4150</v>
      </c>
      <c r="F1667" s="2022"/>
      <c r="G1667" s="1969"/>
      <c r="H1667" s="2022"/>
      <c r="I1667" s="1977" t="s">
        <v>4143</v>
      </c>
      <c r="J1667" s="1969" t="str">
        <f>'Part I-Project Information'!$H$78</f>
        <v>Family</v>
      </c>
      <c r="K1667" s="2058"/>
      <c r="L1667" s="1985" t="str">
        <f>IF(OR($O1667=$M1667,$O1667=0,$O1667=""),"","* * Check Score! * *")</f>
        <v/>
      </c>
      <c r="M1667" s="1828">
        <v>3</v>
      </c>
      <c r="N1667" s="1977" t="s">
        <v>2000</v>
      </c>
      <c r="O1667" s="2021">
        <f>'Part IX A-Scoring Criteria'!O113</f>
        <v>0</v>
      </c>
      <c r="P1667" s="2021">
        <f>'Part IX A-Scoring Criteria'!P113</f>
        <v>0</v>
      </c>
      <c r="Q1667" s="2061" t="str">
        <f>IF(OR($O1667=$M1667,$O1667=0,$O1667=""),"","*CHECK!*")</f>
        <v/>
      </c>
      <c r="R1667" s="2062" t="s">
        <v>2726</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2002</v>
      </c>
      <c r="B1669" s="1844" t="s">
        <v>4027</v>
      </c>
      <c r="C1669" s="2040"/>
      <c r="D1669" s="2087"/>
      <c r="E1669" s="1681" t="s">
        <v>4256</v>
      </c>
      <c r="F1669" s="2022"/>
      <c r="G1669" s="1969"/>
      <c r="H1669" s="2022"/>
      <c r="I1669" s="2088"/>
      <c r="J1669" s="2058"/>
      <c r="K1669" s="2022"/>
      <c r="L1669" s="1985" t="str">
        <f>IF(OR($O1669&lt;=$M1669,$O1669=0,$O1669=""),"","* * Check Score! * *")</f>
        <v/>
      </c>
      <c r="M1669" s="1824">
        <v>3</v>
      </c>
      <c r="N1669" s="1977" t="s">
        <v>2002</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4180</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146.25">
      <c r="A1671" s="1975"/>
      <c r="B1671" s="478"/>
      <c r="C1671" s="2092" t="s">
        <v>4181</v>
      </c>
      <c r="D1671" s="1901" t="str">
        <f>'Part IX A-Scoring Criteria'!D117</f>
        <v xml:space="preserve">2016 CHNA for Columbus Regional Health System, Executive Summary of 2016 CHNA,  Muscogee County Health Rankings &amp; Roadmaps </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2003</v>
      </c>
      <c r="C1673" s="1844" t="s">
        <v>4028</v>
      </c>
      <c r="D1673" s="2040"/>
      <c r="E1673" s="2040"/>
      <c r="F1673" s="478"/>
      <c r="G1673" s="478"/>
      <c r="H1673" s="2040"/>
      <c r="I1673" s="2040"/>
      <c r="J1673" s="2040"/>
      <c r="K1673" s="2040"/>
      <c r="L1673" s="1985" t="str">
        <f>IF(OR($O1673=$M1673,$O1673=0,$O1673=""),"","* * Check Score! * *")</f>
        <v/>
      </c>
      <c r="M1673" s="1831">
        <v>2</v>
      </c>
      <c r="N1673" s="2059" t="s">
        <v>2003</v>
      </c>
      <c r="O1673" s="2021">
        <f>'Part IX A-Scoring Criteria'!O119</f>
        <v>2</v>
      </c>
      <c r="P1673" s="2021">
        <f>'Part IX A-Scoring Criteria'!P119</f>
        <v>0</v>
      </c>
      <c r="Q1673" s="2061" t="str">
        <f>IF(OR($O1673=$M1673,$O1673=0,$O1673=""),"","*CHECK!*")</f>
        <v/>
      </c>
      <c r="R1673" s="2062" t="s">
        <v>2726</v>
      </c>
      <c r="S1673" s="2089"/>
      <c r="T1673" s="2089"/>
      <c r="U1673" s="2040"/>
      <c r="V1673" s="2040"/>
      <c r="W1673" s="2040"/>
      <c r="X1673" s="2040"/>
      <c r="Y1673" s="2040"/>
      <c r="Z1673" s="2040"/>
    </row>
    <row r="1674" spans="1:26" ht="18.75">
      <c r="A1674" s="1855"/>
      <c r="B1674" s="2093"/>
      <c r="C1674" s="478" t="s">
        <v>4029</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51">
      <c r="A1675" s="1855"/>
      <c r="B1675" s="2093"/>
      <c r="C1675" s="478" t="s">
        <v>4834</v>
      </c>
      <c r="D1675" s="1631" t="s">
        <v>4151</v>
      </c>
      <c r="E1675" s="2040"/>
      <c r="F1675" s="478"/>
      <c r="G1675" s="478"/>
      <c r="H1675" s="1792" t="str">
        <f>'Part IX A-Scoring Criteria'!H121</f>
        <v>Piedmont Columbus Regional Healthcare System (through its Mobile Health Unit)</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4032</v>
      </c>
      <c r="D1676" s="2040"/>
      <c r="E1676" s="478"/>
      <c r="F1676" s="478"/>
      <c r="G1676" s="478"/>
      <c r="H1676" s="2040"/>
      <c r="I1676" s="2040"/>
      <c r="J1676" s="2040"/>
      <c r="K1676" s="2040"/>
      <c r="L1676" s="2040"/>
      <c r="M1676" s="1828"/>
      <c r="N1676" s="1987" t="s">
        <v>3810</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4033</v>
      </c>
      <c r="D1677" s="478"/>
      <c r="E1677" s="478"/>
      <c r="F1677" s="478"/>
      <c r="G1677" s="478"/>
      <c r="H1677" s="478"/>
      <c r="I1677" s="478"/>
      <c r="J1677" s="478"/>
      <c r="K1677" s="478"/>
      <c r="L1677" s="478"/>
      <c r="M1677" s="1934"/>
      <c r="N1677" s="1977" t="s">
        <v>3811</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4178</v>
      </c>
      <c r="D1678" s="1156"/>
      <c r="E1678" s="478"/>
      <c r="F1678" s="478"/>
      <c r="G1678" s="478"/>
      <c r="H1678" s="1156"/>
      <c r="I1678" s="1156"/>
      <c r="J1678" s="1156"/>
      <c r="K1678" s="1156"/>
      <c r="L1678" s="1999" t="s">
        <v>3847</v>
      </c>
      <c r="M1678" s="1999"/>
      <c r="N1678" s="1999"/>
      <c r="O1678" s="1999" t="s">
        <v>3846</v>
      </c>
      <c r="P1678" s="1999"/>
      <c r="Q1678" s="478"/>
      <c r="R1678" s="1156"/>
      <c r="S1678" s="1156"/>
      <c r="T1678" s="1156"/>
      <c r="U1678" s="1156"/>
      <c r="V1678" s="1156"/>
      <c r="W1678" s="1156"/>
      <c r="X1678" s="1156"/>
      <c r="Y1678" s="1156"/>
      <c r="Z1678" s="1156"/>
    </row>
    <row r="1679" spans="1:26" ht="22.5">
      <c r="A1679" s="1975"/>
      <c r="B1679" s="1977"/>
      <c r="C1679" s="1936" t="str">
        <f>'Part IX A-Scoring Criteria'!C125</f>
        <v>Biometric Screenings</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ht="33.75">
      <c r="A1680" s="1975"/>
      <c r="B1680" s="1987"/>
      <c r="C1680" s="1936" t="str">
        <f>'Part IX A-Scoring Criteria'!C126</f>
        <v xml:space="preserve">Blood Glucose Monitoring </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ht="33.75">
      <c r="A1681" s="1975"/>
      <c r="B1681" s="1977"/>
      <c r="C1681" s="1936" t="str">
        <f>'Part IX A-Scoring Criteria'!C127</f>
        <v>Diabetes Prevention Education</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monthly</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4835</v>
      </c>
      <c r="D1683" s="478" t="s">
        <v>4034</v>
      </c>
      <c r="E1683" s="478"/>
      <c r="F1683" s="478"/>
      <c r="G1683" s="478"/>
      <c r="H1683" s="2040"/>
      <c r="I1683" s="2040"/>
      <c r="J1683" s="2040"/>
      <c r="K1683" s="2040"/>
      <c r="L1683" s="2040"/>
      <c r="M1683" s="2040"/>
      <c r="N1683" s="1987" t="s">
        <v>3810</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4035</v>
      </c>
      <c r="E1684" s="478"/>
      <c r="F1684" s="478"/>
      <c r="G1684" s="478"/>
      <c r="H1684" s="2040"/>
      <c r="I1684" s="2040"/>
      <c r="J1684" s="2040"/>
      <c r="K1684" s="2040"/>
      <c r="L1684" s="2040"/>
      <c r="M1684" s="1828"/>
      <c r="N1684" s="1977" t="s">
        <v>3811</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4183</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4212</v>
      </c>
      <c r="D1686" s="1975"/>
      <c r="E1686" s="1975"/>
      <c r="F1686" s="1975"/>
      <c r="G1686" s="1942" t="str">
        <f>'Part IX A-Scoring Criteria'!G132</f>
        <v>Yes</v>
      </c>
      <c r="H1686" s="1942">
        <f>'Part IX A-Scoring Criteria'!H132</f>
        <v>0</v>
      </c>
      <c r="I1686" s="1872" t="s">
        <v>4215</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4213</v>
      </c>
      <c r="D1687" s="1975"/>
      <c r="E1687" s="1975"/>
      <c r="F1687" s="1975"/>
      <c r="G1687" s="1942" t="str">
        <f>'Part IX A-Scoring Criteria'!G133</f>
        <v>Yes</v>
      </c>
      <c r="H1687" s="1942">
        <f>'Part IX A-Scoring Criteria'!H133</f>
        <v>0</v>
      </c>
      <c r="I1687" s="478" t="s">
        <v>4216</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4214</v>
      </c>
      <c r="D1688" s="1975"/>
      <c r="E1688" s="1975"/>
      <c r="F1688" s="1975"/>
      <c r="G1688" s="1942" t="str">
        <f>'Part IX A-Scoring Criteria'!G134</f>
        <v>Yes</v>
      </c>
      <c r="H1688" s="1942">
        <f>'Part IX A-Scoring Criteria'!H134</f>
        <v>0</v>
      </c>
      <c r="I1688" s="1872" t="s">
        <v>4217</v>
      </c>
      <c r="J1688" s="1156"/>
      <c r="K1688" s="1156"/>
      <c r="L1688" s="1975"/>
      <c r="M1688" s="1975"/>
      <c r="N1688" s="1975"/>
      <c r="O1688" s="1942" t="str">
        <f>'Part IX A-Scoring Criteria'!O134</f>
        <v>Yes</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of residents visiting Mobile Health Unit each month</v>
      </c>
      <c r="D1689" s="1792">
        <f>'Part IX A-Scoring Criteria'!D135</f>
        <v>0</v>
      </c>
      <c r="E1689" s="1792">
        <f>'Part IX A-Scoring Criteria'!E135</f>
        <v>0</v>
      </c>
      <c r="F1689" s="1792">
        <f>'Part IX A-Scoring Criteria'!F135</f>
        <v>0</v>
      </c>
      <c r="G1689" s="1942" t="str">
        <f>'Part IX A-Scoring Criteria'!G135</f>
        <v>Yes</v>
      </c>
      <c r="H1689" s="1942">
        <f>'Part IX A-Scoring Criteria'!H135</f>
        <v>0</v>
      </c>
      <c r="I1689" s="1792" t="str">
        <f>'Part IX A-Scoring Criteria'!I135</f>
        <v>% of residents who follow up with additional medical care after visit at Mobile Health Unit</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t="str">
        <f>'Part IX A-Scoring Criteria'!O135</f>
        <v>Yes</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2005</v>
      </c>
      <c r="C1691" s="2077" t="s">
        <v>3848</v>
      </c>
      <c r="D1691" s="1961"/>
      <c r="E1691" s="2073"/>
      <c r="F1691" s="1961"/>
      <c r="G1691" s="1961"/>
      <c r="H1691" s="1961"/>
      <c r="I1691" s="1961"/>
      <c r="J1691" s="1961"/>
      <c r="K1691" s="1961"/>
      <c r="L1691" s="1985" t="str">
        <f>IF(OR($O1691=$M1691,$O1691=0,$O1691=""),"","* * Check Score! * *")</f>
        <v/>
      </c>
      <c r="M1691" s="1323">
        <v>1</v>
      </c>
      <c r="N1691" s="2059" t="s">
        <v>2005</v>
      </c>
      <c r="O1691" s="2021">
        <f>'Part IX A-Scoring Criteria'!O137</f>
        <v>1</v>
      </c>
      <c r="P1691" s="2021">
        <f>'Part IX A-Scoring Criteria'!P137</f>
        <v>0</v>
      </c>
      <c r="Q1691" s="2061" t="str">
        <f>IF(OR($O1691=$M1691,$O1691=0,$O1691=""),"","*CHECK!*")</f>
        <v/>
      </c>
      <c r="R1691" s="2062" t="s">
        <v>2726</v>
      </c>
      <c r="S1691" s="2089"/>
      <c r="T1691" s="2089"/>
      <c r="U1691" s="2089"/>
      <c r="V1691" s="2073"/>
      <c r="W1691" s="2073"/>
      <c r="X1691" s="2073"/>
      <c r="Y1691" s="2073"/>
      <c r="Z1691" s="2073"/>
    </row>
    <row r="1692" spans="1:26" ht="18.75">
      <c r="A1692" s="1975"/>
      <c r="B1692" s="478"/>
      <c r="C1692" s="478" t="s">
        <v>4036</v>
      </c>
      <c r="D1692" s="2005"/>
      <c r="E1692" s="2005"/>
      <c r="F1692" s="2005"/>
      <c r="G1692" s="2005"/>
      <c r="H1692" s="2005"/>
      <c r="I1692" s="2005"/>
      <c r="J1692" s="2005"/>
      <c r="K1692" s="2005"/>
      <c r="L1692" s="2005"/>
      <c r="M1692" s="1934"/>
      <c r="N1692" s="478"/>
      <c r="O1692" s="1942" t="str">
        <f>'Part IX A-Scoring Criteria'!O138</f>
        <v>Yes</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4836</v>
      </c>
      <c r="D1693" s="2005"/>
      <c r="E1693" s="2005"/>
      <c r="F1693" s="2005"/>
      <c r="G1693" s="1872" t="s">
        <v>4038</v>
      </c>
      <c r="H1693" s="478"/>
      <c r="I1693" s="2005"/>
      <c r="J1693" s="2005"/>
      <c r="K1693" s="2005"/>
      <c r="L1693" s="2005"/>
      <c r="M1693" s="1977" t="s">
        <v>2452</v>
      </c>
      <c r="N1693" s="1977" t="s">
        <v>3810</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4039</v>
      </c>
      <c r="H1694" s="478"/>
      <c r="I1694" s="2005"/>
      <c r="J1694" s="2005"/>
      <c r="K1694" s="2005"/>
      <c r="L1694" s="2005"/>
      <c r="M1694" s="1934"/>
      <c r="N1694" s="1987" t="s">
        <v>3811</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4040</v>
      </c>
      <c r="H1695" s="478"/>
      <c r="I1695" s="2005"/>
      <c r="J1695" s="2005"/>
      <c r="K1695" s="2005"/>
      <c r="L1695" s="2005"/>
      <c r="M1695" s="1934"/>
      <c r="N1695" s="1977" t="s">
        <v>3812</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4041</v>
      </c>
      <c r="H1696" s="478"/>
      <c r="I1696" s="2005"/>
      <c r="J1696" s="2005"/>
      <c r="K1696" s="2005"/>
      <c r="L1696" s="2005"/>
      <c r="M1696" s="1934"/>
      <c r="N1696" s="1977" t="s">
        <v>3814</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4042</v>
      </c>
      <c r="H1697" s="478"/>
      <c r="I1697" s="2005"/>
      <c r="J1697" s="2005"/>
      <c r="K1697" s="2005"/>
      <c r="L1697" s="2005"/>
      <c r="M1697" s="1934"/>
      <c r="N1697" s="1987" t="s">
        <v>3815</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4837</v>
      </c>
      <c r="D1698" s="2005"/>
      <c r="E1698" s="2005"/>
      <c r="F1698" s="2005"/>
      <c r="G1698" s="2005"/>
      <c r="H1698" s="2005"/>
      <c r="I1698" s="2005"/>
      <c r="J1698" s="2005"/>
      <c r="K1698" s="2005"/>
      <c r="L1698" s="2005"/>
      <c r="M1698" s="1977"/>
      <c r="N1698" s="1977" t="s">
        <v>2453</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3863</v>
      </c>
      <c r="D1699" s="1156"/>
      <c r="E1699" s="478"/>
      <c r="F1699" s="478"/>
      <c r="G1699" s="1156" t="s">
        <v>4184</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326.25">
      <c r="A1700" s="1975"/>
      <c r="B1700" s="1977"/>
      <c r="C1700" s="1936" t="str">
        <f>'Part IX A-Scoring Criteria'!C146</f>
        <v>Food Talk</v>
      </c>
      <c r="D1700" s="1936">
        <f>'Part IX A-Scoring Criteria'!D146</f>
        <v>0</v>
      </c>
      <c r="E1700" s="1936">
        <f>'Part IX A-Scoring Criteria'!E146</f>
        <v>0</v>
      </c>
      <c r="F1700" s="1936">
        <f>'Part IX A-Scoring Criteria'!F146</f>
        <v>0</v>
      </c>
      <c r="G1700" s="1936" t="str">
        <f>'Part IX A-Scoring Criteria'!G146</f>
        <v>In partnership with the Muscogee County UGA Extension office, Food Talk offers a program geared toward a diverse audience of adults and youth with limited financial resources.  Food Talk focuses on four core elements:  diet quality and physical activity, food resource management, food safety, and food security.</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ht="315">
      <c r="A1701" s="1975"/>
      <c r="B1701" s="1987"/>
      <c r="C1701" s="1936" t="str">
        <f>'Part IX A-Scoring Criteria'!C147</f>
        <v>Monthly Newsletter from HSC</v>
      </c>
      <c r="D1701" s="1936">
        <f>'Part IX A-Scoring Criteria'!D147</f>
        <v>0</v>
      </c>
      <c r="E1701" s="1936">
        <f>'Part IX A-Scoring Criteria'!E147</f>
        <v>0</v>
      </c>
      <c r="F1701" s="1936">
        <f>'Part IX A-Scoring Criteria'!F147</f>
        <v>0</v>
      </c>
      <c r="G1701" s="1936" t="str">
        <f>'Part IX A-Scoring Criteria'!G147</f>
        <v>Each month residents will receive a Healthy Eating Newsletter written by the HSC, that provides information about garden maintenance, healthy eating suggestions, recipes and / or exercise and weight management efforts.  In addition, the HSC will hold Healthy Eating workshops as part of the Food Talk Program.</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4218</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4006</v>
      </c>
      <c r="C1707" s="1939"/>
      <c r="D1707" s="1939"/>
      <c r="E1707" s="1939"/>
      <c r="F1707" s="1939"/>
      <c r="G1707" s="1939"/>
      <c r="H1707" s="1939"/>
      <c r="I1707" s="1939"/>
      <c r="J1707" s="1939"/>
      <c r="K1707" s="1939"/>
      <c r="L1707" s="1939"/>
      <c r="M1707" s="1837">
        <v>5</v>
      </c>
      <c r="N1707" s="2057"/>
      <c r="O1707" s="2021">
        <f>'Part IX A-Scoring Criteria'!O153</f>
        <v>3</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2000</v>
      </c>
      <c r="B1709" s="1818" t="s">
        <v>4046</v>
      </c>
      <c r="C1709" s="2040"/>
      <c r="D1709" s="2087"/>
      <c r="E1709" s="2087"/>
      <c r="F1709" s="2040"/>
      <c r="G1709" s="2087"/>
      <c r="H1709" s="2087"/>
      <c r="I1709" s="2087"/>
      <c r="J1709" s="2087"/>
      <c r="K1709" s="2087"/>
      <c r="L1709" s="2087"/>
      <c r="M1709" s="1828">
        <v>3</v>
      </c>
      <c r="N1709" s="2059"/>
      <c r="O1709" s="1828">
        <f>'Part IX A-Scoring Criteria'!O155</f>
        <v>1</v>
      </c>
      <c r="P1709" s="1828">
        <f>'Part IX A-Scoring Criteria'!P155</f>
        <v>0</v>
      </c>
      <c r="Q1709" s="2040"/>
      <c r="R1709" s="1631"/>
      <c r="S1709" s="2040"/>
      <c r="T1709" s="2040"/>
      <c r="U1709" s="2040"/>
      <c r="V1709" s="2040"/>
      <c r="W1709" s="2040"/>
      <c r="X1709" s="2040"/>
      <c r="Y1709" s="2040"/>
      <c r="Z1709" s="2040"/>
    </row>
    <row r="1710" spans="1:26" ht="15">
      <c r="A1710" s="2022"/>
      <c r="B1710" s="1872" t="s">
        <v>3857</v>
      </c>
      <c r="C1710" s="2010"/>
      <c r="D1710" s="2010"/>
      <c r="E1710" s="2010"/>
      <c r="F1710" s="2010"/>
      <c r="G1710" s="2010"/>
      <c r="H1710" s="2010"/>
      <c r="I1710" s="2010"/>
      <c r="J1710" s="2010"/>
      <c r="K1710" s="2010"/>
      <c r="L1710" s="2010"/>
      <c r="M1710" s="2010"/>
      <c r="N1710" s="2010"/>
      <c r="O1710" s="1942" t="str">
        <f>'Part IX A-Scoring Criteria'!O156</f>
        <v>Yes</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4838</v>
      </c>
      <c r="C1712" s="1936"/>
      <c r="D1712" s="1936"/>
      <c r="E1712" s="478" t="s">
        <v>3854</v>
      </c>
      <c r="F1712" s="2040"/>
      <c r="G1712" s="478"/>
      <c r="H1712" s="2040"/>
      <c r="I1712" s="1901" t="str">
        <f>'Part IX A-Scoring Criteria'!I158</f>
        <v>Muscogee County</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3856</v>
      </c>
      <c r="F1713" s="1985"/>
      <c r="G1713" s="2040"/>
      <c r="H1713" s="2040"/>
      <c r="I1713" s="1872"/>
      <c r="J1713" s="1866"/>
      <c r="K1713" s="1866"/>
      <c r="L1713" s="1866"/>
      <c r="M1713" s="2040"/>
      <c r="N1713" s="1901"/>
      <c r="O1713" s="1942" t="str">
        <f>'Part IX A-Scoring Criteria'!O159</f>
        <v>N/a</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2925</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3852</v>
      </c>
      <c r="I1715" s="1901" t="s">
        <v>3898</v>
      </c>
      <c r="J1715" s="1901"/>
      <c r="K1715" s="1901"/>
      <c r="L1715" s="1901"/>
      <c r="M1715" s="1709" t="s">
        <v>3851</v>
      </c>
      <c r="N1715" s="1709"/>
      <c r="O1715" s="1709" t="s">
        <v>3855</v>
      </c>
      <c r="P1715" s="1709"/>
      <c r="Q1715" s="1901"/>
      <c r="R1715" s="2022"/>
      <c r="S1715" s="2022"/>
      <c r="T1715" s="2022"/>
      <c r="U1715" s="2022"/>
      <c r="V1715" s="2022"/>
      <c r="W1715" s="2022"/>
      <c r="X1715" s="2022"/>
      <c r="Y1715" s="2022"/>
      <c r="Z1715" s="2022"/>
    </row>
    <row r="1716" spans="1:26" ht="23.25">
      <c r="A1716" s="1855"/>
      <c r="B1716" s="2100" t="s">
        <v>3849</v>
      </c>
      <c r="C1716" s="1866"/>
      <c r="D1716" s="1631" t="s">
        <v>4839</v>
      </c>
      <c r="E1716" s="1631"/>
      <c r="F1716" s="1631"/>
      <c r="G1716" s="1960" t="s">
        <v>3421</v>
      </c>
      <c r="H1716" s="1944"/>
      <c r="I1716" s="1986">
        <v>2014</v>
      </c>
      <c r="J1716" s="1986">
        <v>2015</v>
      </c>
      <c r="K1716" s="1986">
        <v>2016</v>
      </c>
      <c r="L1716" s="1986">
        <v>2017</v>
      </c>
      <c r="M1716" s="1709"/>
      <c r="N1716" s="1709"/>
      <c r="O1716" s="1709"/>
      <c r="P1716" s="1709"/>
      <c r="Q1716" s="2101" t="s">
        <v>3850</v>
      </c>
      <c r="R1716" s="2101"/>
      <c r="S1716" s="2022"/>
      <c r="T1716" s="2022"/>
      <c r="U1716" s="2022"/>
      <c r="V1716" s="2022"/>
      <c r="W1716" s="2022"/>
      <c r="X1716" s="2022"/>
      <c r="Y1716" s="2022"/>
      <c r="Z1716" s="2022"/>
    </row>
    <row r="1717" spans="1:26" ht="33.75">
      <c r="A1717" s="1977" t="s">
        <v>2452</v>
      </c>
      <c r="B1717" s="1908" t="s">
        <v>4045</v>
      </c>
      <c r="C1717" s="2022"/>
      <c r="D1717" s="1901" t="str">
        <f>'Part IX A-Scoring Criteria'!D163</f>
        <v>Wynnton Arts Academy</v>
      </c>
      <c r="E1717" s="1901">
        <f>'Part IX A-Scoring Criteria'!E163</f>
        <v>0</v>
      </c>
      <c r="F1717" s="1901">
        <f>'Part IX A-Scoring Criteria'!F163</f>
        <v>0</v>
      </c>
      <c r="G1717" s="2102" t="str">
        <f>'Part IX A-Scoring Criteria'!G163</f>
        <v>Pre K - 5</v>
      </c>
      <c r="H1717" s="1968" t="str">
        <f>'Part IX A-Scoring Criteria'!H163</f>
        <v>Yes</v>
      </c>
      <c r="I1717" s="2103">
        <f>'Part IX A-Scoring Criteria'!I163</f>
        <v>0</v>
      </c>
      <c r="J1717" s="2103">
        <f>'Part IX A-Scoring Criteria'!J163</f>
        <v>60.1</v>
      </c>
      <c r="K1717" s="2103">
        <f>'Part IX A-Scoring Criteria'!K163</f>
        <v>64.599999999999994</v>
      </c>
      <c r="L1717" s="2103">
        <f>'Part IX A-Scoring Criteria'!L163</f>
        <v>73.400000000000006</v>
      </c>
      <c r="M1717" s="2104">
        <f>IF(I1717+J1717+K1717+L1717=0,"",AVERAGE(I1717,J1717,K1717,L1717))</f>
        <v>49.524999999999999</v>
      </c>
      <c r="N1717" s="2104"/>
      <c r="O1717" s="1831" t="str">
        <f>IF(M1717="","",IF(M1717&gt;Q1717,"Yes",IF(M1717&lt;Q1717,"No","")))</f>
        <v>No</v>
      </c>
      <c r="P1717" s="2022"/>
      <c r="Q1717" s="1642">
        <v>73.400000000000006</v>
      </c>
      <c r="R1717" s="1642"/>
      <c r="S1717" s="2022"/>
      <c r="T1717" s="2022"/>
      <c r="U1717" s="2022"/>
      <c r="V1717" s="2022"/>
      <c r="W1717" s="2022"/>
      <c r="X1717" s="2022"/>
      <c r="Y1717" s="2022"/>
      <c r="Z1717" s="2022"/>
    </row>
    <row r="1718" spans="1:26" ht="22.5">
      <c r="A1718" s="1987" t="s">
        <v>2453</v>
      </c>
      <c r="B1718" s="1908" t="s">
        <v>4219</v>
      </c>
      <c r="C1718" s="2022"/>
      <c r="D1718" s="1901" t="str">
        <f>'Part IX A-Scoring Criteria'!D164</f>
        <v>Richards Middle School</v>
      </c>
      <c r="E1718" s="1901">
        <f>'Part IX A-Scoring Criteria'!E164</f>
        <v>0</v>
      </c>
      <c r="F1718" s="1901">
        <f>'Part IX A-Scoring Criteria'!F164</f>
        <v>0</v>
      </c>
      <c r="G1718" s="2102" t="str">
        <f>'Part IX A-Scoring Criteria'!G164</f>
        <v>6-8</v>
      </c>
      <c r="H1718" s="1968" t="str">
        <f>'Part IX A-Scoring Criteria'!H164</f>
        <v>No</v>
      </c>
      <c r="I1718" s="2103">
        <f>'Part IX A-Scoring Criteria'!I164</f>
        <v>0</v>
      </c>
      <c r="J1718" s="2103">
        <f>'Part IX A-Scoring Criteria'!J164</f>
        <v>67</v>
      </c>
      <c r="K1718" s="2103">
        <f>'Part IX A-Scoring Criteria'!K164</f>
        <v>67.5</v>
      </c>
      <c r="L1718" s="2103">
        <f>'Part IX A-Scoring Criteria'!L164</f>
        <v>70.8</v>
      </c>
      <c r="M1718" s="2104">
        <f>IF(I1718+J1718+K1718+L1718=0,"",AVERAGE(I1718,J1718,K1718,L1718))</f>
        <v>51.325000000000003</v>
      </c>
      <c r="N1718" s="2104"/>
      <c r="O1718" s="1831" t="str">
        <f>IF(M1718="","",IF(M1718&gt;Q1718,"Yes",IF(M1718&lt;Q1718,"No","")))</f>
        <v>No</v>
      </c>
      <c r="P1718" s="2022"/>
      <c r="Q1718" s="1642">
        <v>72.099999999999994</v>
      </c>
      <c r="R1718" s="1642"/>
      <c r="S1718" s="2022"/>
      <c r="T1718" s="2022"/>
      <c r="U1718" s="2022"/>
      <c r="V1718" s="2022"/>
      <c r="W1718" s="2022"/>
      <c r="X1718" s="2022"/>
      <c r="Y1718" s="2022"/>
      <c r="Z1718" s="2022"/>
    </row>
    <row r="1719" spans="1:26" ht="22.5">
      <c r="A1719" s="1977" t="s">
        <v>2454</v>
      </c>
      <c r="B1719" s="1908" t="s">
        <v>4043</v>
      </c>
      <c r="C1719" s="2022"/>
      <c r="D1719" s="1901" t="str">
        <f>'Part IX A-Scoring Criteria'!D165</f>
        <v>Hardaway High School</v>
      </c>
      <c r="E1719" s="1901">
        <f>'Part IX A-Scoring Criteria'!E165</f>
        <v>0</v>
      </c>
      <c r="F1719" s="1901">
        <f>'Part IX A-Scoring Criteria'!F165</f>
        <v>0</v>
      </c>
      <c r="G1719" s="2102" t="str">
        <f>'Part IX A-Scoring Criteria'!G165</f>
        <v>9-12</v>
      </c>
      <c r="H1719" s="1968" t="str">
        <f>'Part IX A-Scoring Criteria'!H165</f>
        <v>No</v>
      </c>
      <c r="I1719" s="2103">
        <f>'Part IX A-Scoring Criteria'!I165</f>
        <v>0</v>
      </c>
      <c r="J1719" s="2103">
        <f>'Part IX A-Scoring Criteria'!J165</f>
        <v>80.5</v>
      </c>
      <c r="K1719" s="2103">
        <f>'Part IX A-Scoring Criteria'!K165</f>
        <v>81.7</v>
      </c>
      <c r="L1719" s="2103">
        <f>'Part IX A-Scoring Criteria'!L165</f>
        <v>78.7</v>
      </c>
      <c r="M1719" s="2104">
        <f>IF(I1719+J1719+K1719+L1719=0,"",AVERAGE(I1719,J1719,K1719,L1719))</f>
        <v>60.224999999999994</v>
      </c>
      <c r="N1719" s="2104"/>
      <c r="O1719" s="1831" t="str">
        <f>IF(M1719="","",IF(M1719&gt;Q1719,"Yes",IF(M1719&lt;Q1719,"No","")))</f>
        <v>No</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2455</v>
      </c>
      <c r="B1721" s="2000" t="s">
        <v>4045</v>
      </c>
      <c r="C1721" s="2022"/>
      <c r="D1721" s="2010" t="str">
        <f>IF(D1717="","",D1717)</f>
        <v>Wynnton Arts Academy</v>
      </c>
      <c r="E1721" s="2022"/>
      <c r="F1721" s="2022"/>
      <c r="G1721" s="1986" t="str">
        <f t="shared" ref="G1721:H1723" si="325">IF(G1717="","",G1717)</f>
        <v>Pre K - 5</v>
      </c>
      <c r="H1721" s="1986" t="str">
        <f t="shared" si="325"/>
        <v>Yes</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2456</v>
      </c>
      <c r="B1722" s="2000" t="s">
        <v>4044</v>
      </c>
      <c r="C1722" s="2022"/>
      <c r="D1722" s="2010" t="str">
        <f>IF(D1718="","",D1718)</f>
        <v>Richards Middle School</v>
      </c>
      <c r="E1722" s="2022"/>
      <c r="F1722" s="2022"/>
      <c r="G1722" s="1986" t="str">
        <f t="shared" si="325"/>
        <v>6-8</v>
      </c>
      <c r="H1722" s="1986" t="str">
        <f t="shared" si="325"/>
        <v>No</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2472</v>
      </c>
      <c r="B1723" s="2000" t="s">
        <v>4043</v>
      </c>
      <c r="C1723" s="2022"/>
      <c r="D1723" s="2010" t="str">
        <f>IF(D1719="","",D1719)</f>
        <v>Hardaway High School</v>
      </c>
      <c r="E1723" s="2022"/>
      <c r="F1723" s="2022"/>
      <c r="G1723" s="1986" t="str">
        <f t="shared" si="325"/>
        <v>9-12</v>
      </c>
      <c r="H1723" s="1986" t="str">
        <f t="shared" si="325"/>
        <v>No</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2002</v>
      </c>
      <c r="B1725" s="1818" t="s">
        <v>4047</v>
      </c>
      <c r="C1725" s="2040"/>
      <c r="D1725" s="2087"/>
      <c r="E1725" s="2087"/>
      <c r="F1725" s="2071" t="s">
        <v>3414</v>
      </c>
      <c r="G1725" s="2040"/>
      <c r="H1725" s="1872" t="s">
        <v>3899</v>
      </c>
      <c r="I1725" s="2040"/>
      <c r="J1725" s="2040"/>
      <c r="K1725" s="2040"/>
      <c r="L1725" s="2040"/>
      <c r="M1725" s="1828">
        <v>2</v>
      </c>
      <c r="N1725" s="2059"/>
      <c r="O1725" s="2021" t="str">
        <f>'Part IX A-Scoring Criteria'!O171</f>
        <v>2.</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4222</v>
      </c>
      <c r="F1726" s="2106" t="s">
        <v>3687</v>
      </c>
      <c r="G1726" s="1832" t="s">
        <v>3422</v>
      </c>
      <c r="H1726" s="1832"/>
      <c r="I1726" s="1832"/>
      <c r="J1726" s="1832"/>
      <c r="K1726" s="1832"/>
      <c r="L1726" s="1832"/>
      <c r="M1726" s="1832"/>
      <c r="N1726" s="1832"/>
      <c r="O1726" s="1156"/>
      <c r="P1726" s="2011"/>
      <c r="Q1726" s="1156"/>
      <c r="R1726" s="1156" t="s">
        <v>2852</v>
      </c>
      <c r="S1726" s="1156"/>
      <c r="T1726" s="1999" t="str">
        <f>'Part I-Project Information'!$F$38</f>
        <v>Columbus</v>
      </c>
      <c r="U1726" s="1999"/>
      <c r="V1726" s="1999"/>
      <c r="W1726" s="1999"/>
      <c r="X1726" s="1999"/>
      <c r="Y1726" s="1156"/>
      <c r="Z1726" s="1156"/>
    </row>
    <row r="1727" spans="1:26" ht="12.75" customHeight="1">
      <c r="A1727" s="1975"/>
      <c r="B1727" s="2106" t="s">
        <v>4050</v>
      </c>
      <c r="C1727" s="2106"/>
      <c r="D1727" s="2106"/>
      <c r="E1727" s="2106"/>
      <c r="F1727" s="2106"/>
      <c r="G1727" s="1936" t="s">
        <v>4049</v>
      </c>
      <c r="H1727" s="1936"/>
      <c r="I1727" s="1936"/>
      <c r="J1727" s="1936"/>
      <c r="K1727" s="1936"/>
      <c r="L1727" s="1936"/>
      <c r="M1727" s="1936"/>
      <c r="N1727" s="1936"/>
      <c r="O1727" s="2106" t="s">
        <v>3688</v>
      </c>
      <c r="P1727" s="2106"/>
      <c r="Q1727" s="1156"/>
      <c r="R1727" s="1999" t="s">
        <v>2853</v>
      </c>
      <c r="S1727" s="1156"/>
      <c r="T1727" s="1999" t="str">
        <f>'Part I-Project Information'!$J$39</f>
        <v>Muscogee</v>
      </c>
      <c r="U1727" s="1999"/>
      <c r="V1727" s="1999"/>
      <c r="W1727" s="1999"/>
      <c r="X1727" s="1999"/>
      <c r="Y1727" s="1156"/>
      <c r="Z1727" s="1156"/>
    </row>
    <row r="1728" spans="1:26">
      <c r="A1728" s="1975"/>
      <c r="B1728" s="478" t="s">
        <v>3858</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2854</v>
      </c>
      <c r="S1728" s="1156"/>
      <c r="T1728" s="1999" t="str">
        <f>'Part I-Project Information'!$O$40</f>
        <v>Columbus</v>
      </c>
      <c r="U1728" s="1999"/>
      <c r="V1728" s="1999"/>
      <c r="W1728" s="1999"/>
      <c r="X1728" s="1999"/>
      <c r="Y1728" s="1156"/>
      <c r="Z1728" s="1156"/>
    </row>
    <row r="1729" spans="1:26" ht="12.75" customHeight="1">
      <c r="A1729" s="1975"/>
      <c r="B1729" s="1901" t="s">
        <v>4048</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3892</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3893</v>
      </c>
      <c r="C1731" s="1156"/>
      <c r="D1731" s="1156"/>
      <c r="E1731" s="2110"/>
      <c r="F1731" s="2110"/>
      <c r="G1731" s="2110"/>
      <c r="H1731" s="1156"/>
      <c r="I1731" s="2110">
        <f>'Part IX A-Scoring Criteria'!I177</f>
        <v>6000</v>
      </c>
      <c r="J1731" s="2110">
        <f>'Part IX A-Scoring Criteria'!J177</f>
        <v>0</v>
      </c>
      <c r="K1731" s="1156"/>
      <c r="L1731" s="1156"/>
      <c r="M1731" s="1156"/>
      <c r="N1731" s="1156"/>
      <c r="O1731" s="1156"/>
      <c r="P1731" s="1156"/>
      <c r="Q1731" s="1156"/>
      <c r="R1731" s="1156" t="s">
        <v>3653</v>
      </c>
      <c r="S1731" s="1156"/>
      <c r="T1731" s="1999" t="str">
        <f>'Part I-Project Information'!$K$40</f>
        <v>Urban</v>
      </c>
      <c r="U1731" s="1999"/>
      <c r="V1731" s="1999"/>
      <c r="W1731" s="1999"/>
      <c r="X1731" s="1999"/>
      <c r="Y1731" s="1156"/>
      <c r="Z1731" s="1156"/>
    </row>
    <row r="1732" spans="1:26" ht="13.5">
      <c r="A1732" s="2000"/>
      <c r="B1732" s="2010" t="s">
        <v>3652</v>
      </c>
      <c r="C1732" s="1156"/>
      <c r="D1732" s="1156"/>
      <c r="E1732" s="1156"/>
      <c r="F1732" s="1156"/>
      <c r="G1732" s="1156"/>
      <c r="H1732" s="2111" t="str">
        <f>IF(I1732&lt;I1731,"Threshold not met!","")</f>
        <v/>
      </c>
      <c r="I1732" s="2110">
        <f>'Part IX A-Scoring Criteria'!I178</f>
        <v>18778</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2003</v>
      </c>
      <c r="C1734" s="478" t="s">
        <v>4221</v>
      </c>
      <c r="D1734" s="1999"/>
      <c r="E1734" s="1999"/>
      <c r="F1734" s="1999"/>
      <c r="G1734" s="1999"/>
      <c r="H1734" s="2112" t="s">
        <v>2003</v>
      </c>
      <c r="I1734" s="1983" t="str">
        <f>'Part IX A-Scoring Criteria'!I180</f>
        <v>Yes</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2005</v>
      </c>
      <c r="C1735" s="478" t="s">
        <v>4051</v>
      </c>
      <c r="D1735" s="2099"/>
      <c r="E1735" s="2099"/>
      <c r="F1735" s="2099"/>
      <c r="G1735" s="1156"/>
      <c r="H1735" s="2112" t="s">
        <v>2005</v>
      </c>
      <c r="I1735" s="2113" t="str">
        <f>'Part IX A-Scoring Criteria'!I181</f>
        <v>Yes</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3917</v>
      </c>
      <c r="D1736" s="2099"/>
      <c r="E1736" s="2099"/>
      <c r="F1736" s="2099"/>
      <c r="G1736" s="2088"/>
      <c r="H1736" s="1156"/>
      <c r="I1736" s="1992">
        <f>'Part IX A-Scoring Criteria'!I182</f>
        <v>2.1296666666666666</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3782</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409.5">
      <c r="A1739" s="1936" t="str">
        <f>'Part IX A-Scoring Criteria'!A185</f>
        <v>Applicant is taking points because Grayling Place is located in the attendance zone of Hardaway High School, a High Performing School in Muscogee County according to Georgia's performance evaluation system (CCRPI).  The school serves at least 3 grades per QAP requirements.   Applicant is also taking points here because the location of this site exceeds the mimimum jobs threhold by 50%.  See Tab 31 for school district map and letter.</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1881</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4057</v>
      </c>
      <c r="C1743" s="2040"/>
      <c r="D1743" s="2041"/>
      <c r="E1743" s="2041"/>
      <c r="F1743" s="2040"/>
      <c r="G1743" s="2040"/>
      <c r="H1743" s="1873" t="s">
        <v>4058</v>
      </c>
      <c r="I1743" s="2114"/>
      <c r="J1743" s="2114"/>
      <c r="K1743" s="1934"/>
      <c r="L1743" s="1934"/>
      <c r="M1743" s="1837">
        <v>7</v>
      </c>
      <c r="N1743" s="1828"/>
      <c r="O1743" s="2021">
        <f>'Part IX A-Scoring Criteria'!O189</f>
        <v>0</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4840</v>
      </c>
      <c r="C1745" s="1844"/>
      <c r="D1745" s="1844"/>
      <c r="E1745" s="1631" t="s">
        <v>4231</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2528</v>
      </c>
      <c r="L1746" s="1986" t="s">
        <v>2528</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2452</v>
      </c>
      <c r="C1747" s="1936" t="s">
        <v>4186</v>
      </c>
      <c r="D1747" s="1936"/>
      <c r="E1747" s="1936"/>
      <c r="F1747" s="1936"/>
      <c r="G1747" s="1936"/>
      <c r="H1747" s="1936"/>
      <c r="I1747" s="1936"/>
      <c r="J1747" s="1987" t="s">
        <v>2452</v>
      </c>
      <c r="K1747" s="1942">
        <f>'Part IX A-Scoring Criteria'!K193</f>
        <v>0</v>
      </c>
      <c r="L1747" s="1942">
        <f>'Part IX A-Scoring Criteria'!L193</f>
        <v>0</v>
      </c>
      <c r="M1747" s="2116" t="str">
        <f>'Part IX A-Scoring Criteria'!M193</f>
        <v>&lt;Enter page nbr(s) from Plan&gt;</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2453</v>
      </c>
      <c r="C1749" s="1936" t="s">
        <v>4841</v>
      </c>
      <c r="D1749" s="1936"/>
      <c r="E1749" s="1936"/>
      <c r="F1749" s="1936"/>
      <c r="G1749" s="1936"/>
      <c r="H1749" s="2022"/>
      <c r="I1749" s="2022"/>
      <c r="J1749" s="1977" t="s">
        <v>2453</v>
      </c>
      <c r="K1749" s="1942">
        <f>'Part IX A-Scoring Criteria'!K195</f>
        <v>0</v>
      </c>
      <c r="L1749" s="1942">
        <f>'Part IX A-Scoring Criteria'!L195</f>
        <v>0</v>
      </c>
      <c r="M1749" s="2116" t="str">
        <f>'Part IX A-Scoring Criteria'!M195</f>
        <v>&lt;Enter page nbr(s) from Plan&gt;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2454</v>
      </c>
      <c r="C1750" s="1961" t="s">
        <v>2845</v>
      </c>
      <c r="D1750" s="1961"/>
      <c r="E1750" s="1961"/>
      <c r="F1750" s="1961"/>
      <c r="G1750" s="1961"/>
      <c r="H1750" s="1961"/>
      <c r="I1750" s="1953"/>
      <c r="J1750" s="1987" t="s">
        <v>2454</v>
      </c>
      <c r="K1750" s="1942">
        <f>'Part IX A-Scoring Criteria'!K196</f>
        <v>0</v>
      </c>
      <c r="L1750" s="1942">
        <f>'Part IX A-Scoring Criteria'!L196</f>
        <v>0</v>
      </c>
      <c r="M1750" s="2116" t="str">
        <f>'Part IX A-Scoring Criteria'!M196</f>
        <v>&lt;Enter page nbr(s) from Plan&gt;</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2455</v>
      </c>
      <c r="C1751" s="2037" t="s">
        <v>4062</v>
      </c>
      <c r="D1751" s="1961"/>
      <c r="E1751" s="1961"/>
      <c r="F1751" s="1961"/>
      <c r="G1751" s="1961"/>
      <c r="H1751" s="1961"/>
      <c r="I1751" s="1953"/>
      <c r="J1751" s="1987" t="s">
        <v>2455</v>
      </c>
      <c r="K1751" s="1942">
        <f>'Part IX A-Scoring Criteria'!K197</f>
        <v>0</v>
      </c>
      <c r="L1751" s="1942">
        <f>'Part IX A-Scoring Criteria'!L197</f>
        <v>0</v>
      </c>
      <c r="M1751" s="2116" t="str">
        <f>'Part IX A-Scoring Criteria'!M197</f>
        <v>&lt;Enter page nbr(s) from Plan&gt;</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4229</v>
      </c>
      <c r="E1752" s="1961"/>
      <c r="F1752" s="1953"/>
      <c r="G1752" s="1953"/>
      <c r="H1752" s="1961"/>
      <c r="I1752" s="1953"/>
      <c r="J1752" s="1987"/>
      <c r="K1752" s="1942">
        <f>'Part IX A-Scoring Criteria'!K198</f>
        <v>0</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2456</v>
      </c>
      <c r="C1753" s="1961" t="s">
        <v>4052</v>
      </c>
      <c r="D1753" s="1961"/>
      <c r="E1753" s="1961"/>
      <c r="F1753" s="1961"/>
      <c r="G1753" s="1961"/>
      <c r="H1753" s="1961"/>
      <c r="I1753" s="1953"/>
      <c r="J1753" s="1987" t="s">
        <v>2456</v>
      </c>
      <c r="K1753" s="1942">
        <f>'Part IX A-Scoring Criteria'!K199</f>
        <v>0</v>
      </c>
      <c r="L1753" s="1942">
        <f>'Part IX A-Scoring Criteria'!L199</f>
        <v>0</v>
      </c>
      <c r="M1753" s="2116" t="str">
        <f>'Part IX A-Scoring Criteria'!M199</f>
        <v>&lt;Enter page nbr(s) from Plan&gt;</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2472</v>
      </c>
      <c r="C1754" s="1961" t="s">
        <v>2846</v>
      </c>
      <c r="D1754" s="1961"/>
      <c r="E1754" s="1961"/>
      <c r="F1754" s="1961"/>
      <c r="G1754" s="1961"/>
      <c r="H1754" s="1953"/>
      <c r="I1754" s="1953"/>
      <c r="J1754" s="1987" t="s">
        <v>2472</v>
      </c>
      <c r="K1754" s="1942">
        <f>'Part IX A-Scoring Criteria'!K200</f>
        <v>0</v>
      </c>
      <c r="L1754" s="1942">
        <f>'Part IX A-Scoring Criteria'!L200</f>
        <v>0</v>
      </c>
      <c r="M1754" s="2116" t="str">
        <f>'Part IX A-Scoring Criteria'!M200</f>
        <v>&lt;Enter page nbr(s) from Plan&gt;</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2473</v>
      </c>
      <c r="C1755" s="1961" t="s">
        <v>4053</v>
      </c>
      <c r="D1755" s="1961"/>
      <c r="E1755" s="1961"/>
      <c r="F1755" s="1961"/>
      <c r="G1755" s="1953"/>
      <c r="H1755" s="1953"/>
      <c r="I1755" s="1953"/>
      <c r="J1755" s="1987" t="s">
        <v>2473</v>
      </c>
      <c r="K1755" s="1942">
        <f>'Part IX A-Scoring Criteria'!K201</f>
        <v>0</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4054</v>
      </c>
      <c r="E1756" s="1961"/>
      <c r="F1756" s="2118">
        <f>'Part IX A-Scoring Criteria'!F202</f>
        <v>0</v>
      </c>
      <c r="G1756" s="2118">
        <f>'Part IX A-Scoring Criteria'!G202</f>
        <v>0</v>
      </c>
      <c r="H1756" s="1953"/>
      <c r="I1756" s="1961" t="s">
        <v>4055</v>
      </c>
      <c r="J1756" s="1953"/>
      <c r="K1756" s="2118">
        <f>'Part IX A-Scoring Criteria'!K202</f>
        <v>0</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2474</v>
      </c>
      <c r="C1757" s="1961" t="s">
        <v>4842</v>
      </c>
      <c r="D1757" s="1961"/>
      <c r="E1757" s="1961"/>
      <c r="F1757" s="1961"/>
      <c r="G1757" s="1953"/>
      <c r="H1757" s="1953"/>
      <c r="I1757" s="1953"/>
      <c r="J1757" s="1987" t="s">
        <v>2474</v>
      </c>
      <c r="K1757" s="1942">
        <f>'Part IX A-Scoring Criteria'!K203</f>
        <v>0</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c r="B1759" s="1969" t="s">
        <v>4187</v>
      </c>
      <c r="E1759" s="1629"/>
      <c r="G1759" s="2084">
        <f>'Part IX A-Scoring Criteria'!G205</f>
        <v>0</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2000</v>
      </c>
      <c r="B1761" s="1844" t="s">
        <v>4056</v>
      </c>
      <c r="M1761" s="1828">
        <v>5</v>
      </c>
      <c r="N1761" s="1975" t="s">
        <v>2000</v>
      </c>
      <c r="O1761" s="2119">
        <f>'Part IX A-Scoring Criteria'!O207</f>
        <v>0</v>
      </c>
      <c r="P1761" s="2119">
        <f>'Part IX A-Scoring Criteria'!P207</f>
        <v>0</v>
      </c>
      <c r="Q1761" s="1681"/>
      <c r="X1761" s="1826"/>
      <c r="Y1761" s="1977"/>
    </row>
    <row r="1762" spans="1:26" ht="12.75" customHeight="1">
      <c r="A1762" s="1975"/>
      <c r="B1762" s="2098" t="s">
        <v>2003</v>
      </c>
      <c r="C1762" s="1936" t="s">
        <v>4843</v>
      </c>
      <c r="D1762" s="1936"/>
      <c r="E1762" s="1936"/>
      <c r="F1762" s="1936"/>
      <c r="G1762" s="1936"/>
      <c r="H1762" s="1936"/>
      <c r="I1762" s="1936"/>
      <c r="J1762" s="1936"/>
      <c r="K1762" s="1936"/>
      <c r="L1762" s="1985" t="str">
        <f>IF(OR($O1762=$M1762,$O1762=0,$O1762=""),"","* * Check Score! * *")</f>
        <v/>
      </c>
      <c r="M1762" s="1991">
        <v>3</v>
      </c>
      <c r="N1762" s="2067" t="s">
        <v>2003</v>
      </c>
      <c r="O1762" s="2060">
        <f>'Part IX A-Scoring Criteria'!O208</f>
        <v>0</v>
      </c>
      <c r="P1762" s="2060">
        <f>'Part IX A-Scoring Criteria'!P208</f>
        <v>0</v>
      </c>
      <c r="Q1762" s="2061" t="str">
        <f>IF(OR($O1762=$M1762,$O1762=0,$O1762=""),"","*CHECK!*")</f>
        <v/>
      </c>
      <c r="R1762" s="1626" t="s">
        <v>2726</v>
      </c>
    </row>
    <row r="1763" spans="1:26" ht="12.75" customHeight="1">
      <c r="A1763" s="1975"/>
      <c r="B1763" s="2098" t="s">
        <v>2005</v>
      </c>
      <c r="C1763" s="2011" t="s">
        <v>4844</v>
      </c>
      <c r="D1763" s="2011"/>
      <c r="E1763" s="2011"/>
      <c r="F1763" s="2011"/>
      <c r="G1763" s="2011"/>
      <c r="H1763" s="2011"/>
      <c r="I1763" s="2011"/>
      <c r="J1763" s="2011"/>
      <c r="K1763" s="2011"/>
      <c r="L1763" s="1985" t="str">
        <f>IF(OR($O1763=$M1763,$O1763=0,$O1763=""),"","* * Check Score! * *")</f>
        <v/>
      </c>
      <c r="M1763" s="1991">
        <v>2</v>
      </c>
      <c r="N1763" s="2067" t="s">
        <v>2005</v>
      </c>
      <c r="O1763" s="2060">
        <f>'Part IX A-Scoring Criteria'!O209</f>
        <v>0</v>
      </c>
      <c r="P1763" s="2060">
        <f>'Part IX A-Scoring Criteria'!P209</f>
        <v>0</v>
      </c>
      <c r="Q1763" s="2061" t="str">
        <f>IF(OR($O1763=$M1763,$O1763=0,$O1763=""),"","*CHECK!*")</f>
        <v/>
      </c>
      <c r="R1763" s="1626" t="s">
        <v>2726</v>
      </c>
    </row>
    <row r="1764" spans="1:26">
      <c r="A1764" s="1975"/>
      <c r="B1764" s="2010"/>
      <c r="C1764" s="2010" t="s">
        <v>3807</v>
      </c>
      <c r="E1764" s="2010" t="str">
        <f>'Part I-Project Information'!$N$39</f>
        <v>No</v>
      </c>
      <c r="G1764" s="2010" t="s">
        <v>3601</v>
      </c>
      <c r="I1764" s="2120" t="str">
        <f>'Part I-Project Information'!$O$38</f>
        <v>11.00</v>
      </c>
      <c r="J1764" s="2120"/>
      <c r="K1764" s="1872" t="s">
        <v>3398</v>
      </c>
      <c r="M1764" s="1872" t="str">
        <f>'Part IV-A-Uses of Funds'!$H$152</f>
        <v>&lt;&lt;Select&gt;&gt;</v>
      </c>
    </row>
    <row r="1765" spans="1:26">
      <c r="A1765" s="1975"/>
      <c r="B1765" s="2010"/>
      <c r="D1765" s="1986"/>
      <c r="E1765" s="2010"/>
      <c r="G1765" s="1872"/>
      <c r="K1765" s="1872"/>
      <c r="L1765" s="1872"/>
    </row>
    <row r="1766" spans="1:26">
      <c r="A1766" s="1855" t="s">
        <v>2002</v>
      </c>
      <c r="B1766" s="1844" t="s">
        <v>4059</v>
      </c>
      <c r="D1766" s="1629"/>
      <c r="K1766" s="1860"/>
      <c r="L1766" s="1985" t="str">
        <f>IF(OR($O1766=$M1766,$O1766=0,$O1766=""),"","* * Check Score! * *")</f>
        <v/>
      </c>
      <c r="M1766" s="1828">
        <v>2</v>
      </c>
      <c r="N1766" s="1975" t="s">
        <v>2002</v>
      </c>
      <c r="O1766" s="2021">
        <f>'Part IX A-Scoring Criteria'!O212</f>
        <v>0</v>
      </c>
      <c r="P1766" s="2021">
        <f>'Part IX A-Scoring Criteria'!P212</f>
        <v>0</v>
      </c>
      <c r="Q1766" s="2061" t="str">
        <f>IF(OR($O1766=$M1766,$O1766=0,$O1766=""),"","*CHECK!*")</f>
        <v/>
      </c>
      <c r="R1766" s="1626" t="s">
        <v>2726</v>
      </c>
    </row>
    <row r="1767" spans="1:26" ht="18.75">
      <c r="A1767" s="1855"/>
      <c r="B1767" s="478" t="s">
        <v>2814</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3889</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3890</v>
      </c>
      <c r="C1769" s="2022"/>
      <c r="D1769" s="2022"/>
      <c r="E1769" s="2022"/>
      <c r="F1769" s="2022"/>
      <c r="G1769" s="2022"/>
      <c r="H1769" s="2022"/>
      <c r="I1769" s="2111" t="str">
        <f>IF($J$215="Government", "Additional documentation required - see QAP.","")</f>
        <v/>
      </c>
      <c r="J1769" s="1999">
        <f>'Part IX A-Scoring Criteria'!J215</f>
        <v>0</v>
      </c>
      <c r="K1769" s="1999">
        <f>'Part IX A-Scoring Criteria'!K215</f>
        <v>0</v>
      </c>
      <c r="L1769" s="1999">
        <f>'Part IX A-Scoring Criteria'!L215</f>
        <v>0</v>
      </c>
      <c r="M1769" s="1961" t="s">
        <v>3651</v>
      </c>
      <c r="N1769" s="2022"/>
      <c r="O1769" s="2022"/>
      <c r="P1769" s="2022"/>
      <c r="Q1769" s="2022"/>
      <c r="R1769" s="2022"/>
      <c r="S1769" s="2022"/>
      <c r="T1769" s="2022"/>
      <c r="U1769" s="2022"/>
      <c r="V1769" s="2089"/>
      <c r="W1769" s="2089"/>
      <c r="X1769" s="2022"/>
      <c r="Y1769" s="2022"/>
      <c r="Z1769" s="2022"/>
    </row>
    <row r="1770" spans="1:26" ht="18.75">
      <c r="A1770" s="1915"/>
      <c r="B1770" s="2010" t="s">
        <v>4245</v>
      </c>
      <c r="F1770" s="1953"/>
      <c r="G1770" s="1953"/>
      <c r="H1770" s="1953"/>
      <c r="L1770" s="1969">
        <f>'Part IX A-Scoring Criteria'!L216</f>
        <v>0</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3818</v>
      </c>
      <c r="G1771" s="1961"/>
      <c r="J1771" s="2122">
        <f>'Part IX A-Scoring Criteria'!J217</f>
        <v>0</v>
      </c>
      <c r="K1771" s="2123" t="s">
        <v>3817</v>
      </c>
      <c r="L1771" s="1953"/>
      <c r="N1771" s="1824"/>
      <c r="O1771" s="1826"/>
      <c r="P1771" s="1826"/>
      <c r="V1771" s="2089"/>
      <c r="W1771" s="2089"/>
    </row>
    <row r="1772" spans="1:26" ht="18.75" customHeight="1">
      <c r="A1772" s="2124" t="s">
        <v>4226</v>
      </c>
      <c r="B1772" s="1936" t="s">
        <v>4223</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4224</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4225</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3478</v>
      </c>
      <c r="G1775" s="478" t="s">
        <v>2647</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4549</v>
      </c>
      <c r="D1776" s="1939"/>
      <c r="E1776" s="2022"/>
      <c r="F1776" s="2022"/>
      <c r="G1776" s="2126">
        <f>'Part IV-A-Uses of Funds'!$G$132</f>
        <v>16105048</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3782</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15.75">
      <c r="A1778" s="1936">
        <f>'Part IX A-Scoring Criteria'!A224</f>
        <v>0</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1881</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4060</v>
      </c>
      <c r="C1782" s="1939"/>
      <c r="D1782" s="1939"/>
      <c r="E1782" s="1939"/>
      <c r="F1782" s="1939"/>
      <c r="G1782" s="1939"/>
      <c r="H1782" s="1939"/>
      <c r="I1782" s="1939"/>
      <c r="J1782" s="1939"/>
      <c r="K1782" s="1968" t="s">
        <v>3268</v>
      </c>
      <c r="L1782" s="1968" t="s">
        <v>258</v>
      </c>
      <c r="M1782" s="1837">
        <v>3</v>
      </c>
      <c r="N1782" s="2057"/>
      <c r="O1782" s="2028"/>
      <c r="P1782" s="2021">
        <f>'Part IX A-Scoring Criteria'!P228</f>
        <v>0</v>
      </c>
      <c r="Q1782" s="1837" t="s">
        <v>443</v>
      </c>
      <c r="R1782" s="1626" t="s">
        <v>2726</v>
      </c>
      <c r="S1782" s="2022"/>
      <c r="T1782" s="2022"/>
      <c r="U1782" s="2022"/>
      <c r="V1782" s="2022"/>
      <c r="W1782" s="2022"/>
      <c r="X1782" s="2022"/>
      <c r="Y1782" s="2022"/>
      <c r="Z1782" s="2022"/>
    </row>
    <row r="1783" spans="1:26" ht="15">
      <c r="A1783" s="1855"/>
      <c r="B1783" s="1969" t="s">
        <v>4063</v>
      </c>
      <c r="C1783" s="2022"/>
      <c r="D1783" s="1156" t="s">
        <v>4064</v>
      </c>
      <c r="E1783" s="2022"/>
      <c r="F1783" s="2022"/>
      <c r="G1783" s="2022"/>
      <c r="H1783" s="2022"/>
      <c r="I1783" s="2022"/>
      <c r="J1783" s="2022"/>
      <c r="K1783" s="2119">
        <f>'Part IX A-Scoring Criteria'!K229</f>
        <v>0</v>
      </c>
      <c r="L1783" s="2119">
        <f>'Part IX A-Scoring Criteria'!L229</f>
        <v>0</v>
      </c>
      <c r="M1783" s="2022"/>
      <c r="N1783" s="1977" t="s">
        <v>2452</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4065</v>
      </c>
      <c r="E1784" s="2022"/>
      <c r="F1784" s="2022"/>
      <c r="G1784" s="2022"/>
      <c r="H1784" s="2022"/>
      <c r="I1784" s="2022"/>
      <c r="J1784" s="2022"/>
      <c r="K1784" s="2119">
        <f>'Part IX A-Scoring Criteria'!K230</f>
        <v>3</v>
      </c>
      <c r="L1784" s="2119">
        <f>'Part IX A-Scoring Criteria'!L230</f>
        <v>0</v>
      </c>
      <c r="M1784" s="2022"/>
      <c r="N1784" s="1977" t="s">
        <v>2453</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4066</v>
      </c>
      <c r="E1785" s="2022"/>
      <c r="F1785" s="2022"/>
      <c r="G1785" s="2022"/>
      <c r="H1785" s="2022"/>
      <c r="I1785" s="2022"/>
      <c r="J1785" s="2022"/>
      <c r="K1785" s="2022"/>
      <c r="L1785" s="2022"/>
      <c r="M1785" s="2022"/>
      <c r="N1785" s="1977" t="s">
        <v>2454</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4067</v>
      </c>
      <c r="E1786" s="2022"/>
      <c r="F1786" s="2022"/>
      <c r="G1786" s="2022"/>
      <c r="H1786" s="2022"/>
      <c r="I1786" s="2022"/>
      <c r="J1786" s="2022"/>
      <c r="K1786" s="2022"/>
      <c r="L1786" s="2022"/>
      <c r="M1786" s="2022"/>
      <c r="N1786" s="1977" t="s">
        <v>2455</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4068</v>
      </c>
      <c r="E1787" s="2022"/>
      <c r="F1787" s="2022"/>
      <c r="G1787" s="2022"/>
      <c r="H1787" s="2022"/>
      <c r="I1787" s="2022"/>
      <c r="J1787" s="2022"/>
      <c r="K1787" s="2022"/>
      <c r="L1787" s="2022"/>
      <c r="M1787" s="2022"/>
      <c r="N1787" s="1977" t="s">
        <v>2456</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2000</v>
      </c>
      <c r="B1789" s="1844" t="s">
        <v>4845</v>
      </c>
      <c r="D1789" s="1629"/>
      <c r="G1789" s="2010" t="s">
        <v>3813</v>
      </c>
      <c r="Q1789" s="1681"/>
    </row>
    <row r="1790" spans="1:26">
      <c r="A1790" s="1975"/>
      <c r="B1790" s="478" t="s">
        <v>3894</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2724</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2211</v>
      </c>
      <c r="C1791" s="1629"/>
      <c r="D1791" s="478">
        <f>'Part IX A-Scoring Criteria'!D237</f>
        <v>0</v>
      </c>
      <c r="E1791" s="478">
        <f>'Part IX A-Scoring Criteria'!E237</f>
        <v>0</v>
      </c>
      <c r="F1791" s="478">
        <f>'Part IX A-Scoring Criteria'!F237</f>
        <v>0</v>
      </c>
      <c r="G1791" s="478" t="s">
        <v>1734</v>
      </c>
      <c r="H1791" s="2128">
        <f>'Part IX A-Scoring Criteria'!H237</f>
        <v>0</v>
      </c>
      <c r="I1791" s="1872"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2003</v>
      </c>
      <c r="C1793" s="1932" t="s">
        <v>4069</v>
      </c>
      <c r="D1793" s="1961"/>
      <c r="E1793" s="1961"/>
      <c r="F1793" s="1961"/>
      <c r="G1793" s="1961"/>
      <c r="H1793" s="1961"/>
      <c r="I1793" s="1961"/>
      <c r="J1793" s="1961"/>
      <c r="K1793" s="1961"/>
      <c r="L1793" s="1961"/>
      <c r="M1793" s="1961"/>
      <c r="N1793" s="1961"/>
      <c r="O1793" s="1934" t="s">
        <v>2528</v>
      </c>
      <c r="P1793" s="1934" t="s">
        <v>2528</v>
      </c>
      <c r="Q1793" s="1961"/>
    </row>
    <row r="1794" spans="1:26" ht="18.75" customHeight="1">
      <c r="A1794" s="1934"/>
      <c r="B1794" s="1996"/>
      <c r="C1794" s="1901" t="s">
        <v>4846</v>
      </c>
      <c r="D1794" s="1901"/>
      <c r="E1794" s="1901"/>
      <c r="F1794" s="1901"/>
      <c r="G1794" s="1901"/>
      <c r="H1794" s="1901"/>
      <c r="I1794" s="1901"/>
      <c r="J1794" s="1901"/>
      <c r="K1794" s="1901"/>
      <c r="L1794" s="1901"/>
      <c r="M1794" s="1629"/>
      <c r="N1794" s="2048" t="s">
        <v>2003</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2452</v>
      </c>
      <c r="C1795" s="478" t="s">
        <v>4071</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2724</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4073</v>
      </c>
      <c r="P1795" s="1792"/>
      <c r="Q1795" s="1961"/>
      <c r="S1795" s="1629"/>
      <c r="T1795" s="1629"/>
      <c r="U1795" s="1629"/>
      <c r="V1795" s="2089"/>
      <c r="W1795" s="2089"/>
      <c r="X1795" s="1629"/>
      <c r="Y1795" s="1629"/>
      <c r="Z1795" s="1629"/>
    </row>
    <row r="1796" spans="1:26" ht="18.75">
      <c r="A1796" s="1975"/>
      <c r="B1796" s="1629"/>
      <c r="C1796" s="478" t="s">
        <v>2211</v>
      </c>
      <c r="D1796" s="478">
        <f>'Part IX A-Scoring Criteria'!D242</f>
        <v>0</v>
      </c>
      <c r="E1796" s="478">
        <f>'Part IX A-Scoring Criteria'!E242</f>
        <v>0</v>
      </c>
      <c r="F1796" s="478">
        <f>'Part IX A-Scoring Criteria'!F242</f>
        <v>0</v>
      </c>
      <c r="G1796" s="478" t="s">
        <v>1734</v>
      </c>
      <c r="H1796" s="2128">
        <f>'Part IX A-Scoring Criteria'!H242</f>
        <v>0</v>
      </c>
      <c r="I1796" s="1872"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2453</v>
      </c>
      <c r="C1797" s="478" t="s">
        <v>4072</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2724</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4073</v>
      </c>
      <c r="P1797" s="1792"/>
      <c r="Q1797" s="1961"/>
      <c r="S1797" s="1629"/>
      <c r="T1797" s="1629"/>
      <c r="U1797" s="1629"/>
      <c r="V1797" s="2089"/>
      <c r="W1797" s="2089"/>
      <c r="X1797" s="1629"/>
      <c r="Y1797" s="1629"/>
      <c r="Z1797" s="1629"/>
    </row>
    <row r="1798" spans="1:26" ht="18.75">
      <c r="A1798" s="1975"/>
      <c r="B1798" s="1629"/>
      <c r="C1798" s="478" t="s">
        <v>2211</v>
      </c>
      <c r="D1798" s="478">
        <f>'Part IX A-Scoring Criteria'!D244</f>
        <v>0</v>
      </c>
      <c r="E1798" s="478">
        <f>'Part IX A-Scoring Criteria'!E244</f>
        <v>0</v>
      </c>
      <c r="F1798" s="478">
        <f>'Part IX A-Scoring Criteria'!F244</f>
        <v>0</v>
      </c>
      <c r="G1798" s="478" t="s">
        <v>1734</v>
      </c>
      <c r="H1798" s="2128">
        <f>'Part IX A-Scoring Criteria'!H244</f>
        <v>0</v>
      </c>
      <c r="I1798" s="1872"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2005</v>
      </c>
      <c r="C1799" s="1932" t="s">
        <v>4074</v>
      </c>
      <c r="D1799" s="1961"/>
      <c r="E1799" s="1961"/>
      <c r="F1799" s="1961"/>
      <c r="G1799" s="2010" t="s">
        <v>3813</v>
      </c>
      <c r="H1799" s="1961"/>
      <c r="I1799" s="1961"/>
      <c r="J1799" s="1961"/>
      <c r="K1799" s="1961"/>
      <c r="L1799" s="1961"/>
      <c r="M1799" s="1961"/>
      <c r="N1799" s="1961"/>
      <c r="O1799" s="1934" t="s">
        <v>2528</v>
      </c>
      <c r="P1799" s="1934" t="s">
        <v>2528</v>
      </c>
      <c r="Q1799" s="1961"/>
    </row>
    <row r="1800" spans="1:26" ht="18.75" customHeight="1">
      <c r="A1800" s="1975"/>
      <c r="B1800" s="2129"/>
      <c r="C1800" s="1936" t="s">
        <v>4847</v>
      </c>
      <c r="D1800" s="1936"/>
      <c r="E1800" s="1936"/>
      <c r="F1800" s="1936"/>
      <c r="G1800" s="1936"/>
      <c r="H1800" s="1936"/>
      <c r="I1800" s="1936"/>
      <c r="J1800" s="1936"/>
      <c r="K1800" s="1936"/>
      <c r="L1800" s="1936"/>
      <c r="M1800" s="1936"/>
      <c r="N1800" s="2048" t="s">
        <v>2005</v>
      </c>
      <c r="O1800" s="1988">
        <f>'Part IX A-Scoring Criteria'!O246</f>
        <v>0</v>
      </c>
      <c r="P1800" s="1988">
        <f>'Part IX A-Scoring Criteria'!P246</f>
        <v>0</v>
      </c>
      <c r="Q1800" s="1990"/>
      <c r="V1800" s="2089"/>
      <c r="W1800" s="2089"/>
    </row>
    <row r="1801" spans="1:26" ht="18.75">
      <c r="A1801" s="1975"/>
      <c r="B1801" s="1977" t="s">
        <v>2452</v>
      </c>
      <c r="C1801" s="1996" t="s">
        <v>4190</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2453</v>
      </c>
      <c r="C1805" s="1996" t="s">
        <v>4188</v>
      </c>
      <c r="D1805" s="1939"/>
      <c r="E1805" s="1939"/>
      <c r="F1805" s="1939"/>
      <c r="G1805" s="1939"/>
      <c r="H1805" s="1939"/>
      <c r="I1805" s="1939"/>
      <c r="J1805" s="1939"/>
      <c r="K1805" s="1939"/>
      <c r="L1805" s="1936" t="s">
        <v>4192</v>
      </c>
      <c r="M1805" s="1936"/>
      <c r="N1805" s="1961" t="s">
        <v>4193</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2552</v>
      </c>
      <c r="C1809" s="1932" t="s">
        <v>4075</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4079</v>
      </c>
      <c r="D1810" s="1901"/>
      <c r="E1810" s="1901"/>
      <c r="F1810" s="1901"/>
      <c r="G1810" s="1901"/>
      <c r="H1810" s="1901"/>
      <c r="I1810" s="1901"/>
      <c r="J1810" s="1901"/>
      <c r="K1810" s="1901"/>
      <c r="L1810" s="1901"/>
      <c r="M1810" s="1901"/>
      <c r="N1810" s="2048" t="s">
        <v>2552</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3816</v>
      </c>
      <c r="D1811" s="1629"/>
      <c r="Q1811" s="1828"/>
    </row>
    <row r="1812" spans="1:26" ht="18.75" customHeight="1">
      <c r="A1812" s="1975"/>
      <c r="B1812" s="2130"/>
      <c r="C1812" s="1936" t="s">
        <v>4081</v>
      </c>
      <c r="D1812" s="1936"/>
      <c r="E1812" s="1936"/>
      <c r="F1812" s="1936"/>
      <c r="G1812" s="1936"/>
      <c r="H1812" s="1936"/>
      <c r="I1812" s="1936"/>
      <c r="J1812" s="1936"/>
      <c r="K1812" s="1936"/>
      <c r="L1812" s="1936"/>
      <c r="M1812" s="1936"/>
      <c r="N1812" s="2048" t="s">
        <v>1236</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2452</v>
      </c>
      <c r="C1813" s="1901" t="s">
        <v>4082</v>
      </c>
      <c r="D1813" s="1901"/>
      <c r="E1813" s="1901"/>
      <c r="F1813" s="1901"/>
      <c r="G1813" s="1901"/>
      <c r="H1813" s="1901"/>
      <c r="I1813" s="1901"/>
      <c r="J1813" s="1901"/>
      <c r="K1813" s="1901"/>
      <c r="L1813" s="1901"/>
      <c r="M1813" s="1901"/>
      <c r="N1813" s="1977" t="s">
        <v>2452</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2453</v>
      </c>
      <c r="C1814" s="1901" t="s">
        <v>4083</v>
      </c>
      <c r="D1814" s="1901"/>
      <c r="E1814" s="1901"/>
      <c r="F1814" s="1901"/>
      <c r="G1814" s="1901"/>
      <c r="H1814" s="1901"/>
      <c r="I1814" s="1901"/>
      <c r="J1814" s="1901"/>
      <c r="K1814" s="1901"/>
      <c r="L1814" s="1901"/>
      <c r="M1814" s="1901"/>
      <c r="N1814" s="1977" t="s">
        <v>2453</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2002</v>
      </c>
      <c r="B1816" s="1844" t="s">
        <v>4848</v>
      </c>
      <c r="D1816" s="1629"/>
      <c r="G1816" s="2010" t="s">
        <v>3813</v>
      </c>
      <c r="O1816" s="1934" t="s">
        <v>2528</v>
      </c>
      <c r="P1816" s="1934" t="s">
        <v>2528</v>
      </c>
      <c r="Q1816" s="1681"/>
    </row>
    <row r="1817" spans="1:26" ht="18.75" customHeight="1">
      <c r="A1817" s="1975"/>
      <c r="B1817" s="2098" t="s">
        <v>2003</v>
      </c>
      <c r="C1817" s="1936" t="s">
        <v>4077</v>
      </c>
      <c r="D1817" s="1936"/>
      <c r="E1817" s="1936"/>
      <c r="F1817" s="1936"/>
      <c r="G1817" s="1936"/>
      <c r="H1817" s="1936"/>
      <c r="I1817" s="1936"/>
      <c r="J1817" s="1936"/>
      <c r="K1817" s="1936"/>
      <c r="L1817" s="1936"/>
      <c r="M1817" s="2132" t="s">
        <v>2002</v>
      </c>
      <c r="N1817" s="2048" t="s">
        <v>2003</v>
      </c>
      <c r="O1817" s="1988">
        <f>'Part IX A-Scoring Criteria'!O263</f>
        <v>0</v>
      </c>
      <c r="P1817" s="1988">
        <f>'Part IX A-Scoring Criteria'!P263</f>
        <v>0</v>
      </c>
      <c r="Q1817" s="1681"/>
      <c r="V1817" s="2089"/>
      <c r="W1817" s="2089"/>
    </row>
    <row r="1818" spans="1:26" ht="18.75">
      <c r="A1818" s="1975"/>
      <c r="B1818" s="2098" t="s">
        <v>2005</v>
      </c>
      <c r="C1818" s="1872" t="s">
        <v>4078</v>
      </c>
      <c r="D1818" s="1901"/>
      <c r="E1818" s="1901"/>
      <c r="F1818" s="1901"/>
      <c r="G1818" s="1901"/>
      <c r="H1818" s="1901"/>
      <c r="I1818" s="1901"/>
      <c r="J1818" s="1901"/>
      <c r="K1818" s="1901"/>
      <c r="L1818" s="1901"/>
      <c r="M1818" s="1901"/>
      <c r="N1818" s="2048" t="s">
        <v>2005</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3782</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51">
      <c r="A1820" s="1707" t="str">
        <f>'Part IX A-Scoring Criteria'!A266</f>
        <v>Applicant is not claiming points in this section.</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1881</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2806</v>
      </c>
      <c r="C1824" s="2040"/>
      <c r="D1824" s="2041"/>
      <c r="E1824" s="2041"/>
      <c r="F1824" s="2040"/>
      <c r="G1824" s="2040"/>
      <c r="H1824" s="1631" t="s">
        <v>4233</v>
      </c>
      <c r="I1824" s="2040"/>
      <c r="J1824" s="2040"/>
      <c r="K1824" s="2040"/>
      <c r="L1824" s="2040"/>
      <c r="M1824" s="1837">
        <v>7</v>
      </c>
      <c r="N1824" s="1828"/>
      <c r="O1824" s="1840">
        <f>'Part IX A-Scoring Criteria'!O270</f>
        <v>7</v>
      </c>
      <c r="P1824" s="1840">
        <f>'Part IX A-Scoring Criteria'!P270</f>
        <v>2</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3627</v>
      </c>
      <c r="B1826" s="1844" t="s">
        <v>3625</v>
      </c>
      <c r="C1826" s="2040"/>
      <c r="D1826" s="2041"/>
      <c r="E1826" s="2041"/>
      <c r="F1826" s="2040"/>
      <c r="G1826" s="2040"/>
      <c r="H1826" s="1631"/>
      <c r="I1826" s="2040"/>
      <c r="J1826" s="2040"/>
      <c r="K1826" s="2040"/>
      <c r="L1826" s="2040"/>
      <c r="M1826" s="1828">
        <v>3</v>
      </c>
      <c r="N1826" s="2084" t="s">
        <v>4087</v>
      </c>
      <c r="O1826" s="1840">
        <f>'Part IX A-Scoring Criteria'!O272</f>
        <v>3</v>
      </c>
      <c r="P1826" s="1837">
        <f>'Part IX A-Scoring Criteria'!P272</f>
        <v>0</v>
      </c>
      <c r="Q1826" s="1837"/>
      <c r="R1826" s="2022"/>
      <c r="S1826" s="2040"/>
      <c r="T1826" s="2040"/>
      <c r="U1826" s="2040"/>
      <c r="V1826" s="2040"/>
      <c r="W1826" s="2040"/>
      <c r="X1826" s="2040"/>
      <c r="Y1826" s="2040"/>
      <c r="Z1826" s="2040"/>
    </row>
    <row r="1827" spans="1:26">
      <c r="A1827" s="2134"/>
      <c r="B1827" s="1830" t="s">
        <v>2814</v>
      </c>
      <c r="C1827" s="1330"/>
      <c r="D1827" s="1330"/>
      <c r="H1827" s="1844" t="str">
        <f>'Part I-Project Information'!$H$100</f>
        <v>Flexible</v>
      </c>
      <c r="N1827" s="2084"/>
      <c r="O1827" s="1986" t="s">
        <v>2528</v>
      </c>
      <c r="P1827" s="1986" t="s">
        <v>2528</v>
      </c>
    </row>
    <row r="1828" spans="1:26" ht="12.75" customHeight="1">
      <c r="A1828" s="2134"/>
      <c r="B1828" s="2093" t="s">
        <v>2003</v>
      </c>
      <c r="C1828" s="1156" t="s">
        <v>2703</v>
      </c>
      <c r="M1828" s="1824"/>
      <c r="N1828" s="2084"/>
      <c r="O1828" s="1942" t="str">
        <f>'Part IX A-Scoring Criteria'!O274</f>
        <v>Yes</v>
      </c>
      <c r="P1828" s="1942">
        <f>'Part IX A-Scoring Criteria'!P274</f>
        <v>0</v>
      </c>
      <c r="Q1828" s="2135" t="str">
        <f>IF(AND(O1828="Yes",O1831="Yes"),"Only 1 or 4 can be 'Yes'!","")</f>
        <v/>
      </c>
      <c r="R1828" s="2135"/>
    </row>
    <row r="1829" spans="1:26" ht="12.75" customHeight="1">
      <c r="B1829" s="2093" t="s">
        <v>2005</v>
      </c>
      <c r="C1829" s="1156" t="s">
        <v>2759</v>
      </c>
      <c r="G1829" s="1156" t="s">
        <v>2406</v>
      </c>
      <c r="H1829" s="2136">
        <f>'Part IX A-Scoring Criteria'!H275</f>
        <v>0.05</v>
      </c>
      <c r="I1829" s="1156" t="s">
        <v>2760</v>
      </c>
      <c r="L1829" s="478" t="s">
        <v>2758</v>
      </c>
      <c r="M1829" s="1933" t="str">
        <f>IF(O1829&gt;H1829,"CHECK ACTUAL PERCENT!!!","")</f>
        <v/>
      </c>
      <c r="N1829" s="2059" t="s">
        <v>2005</v>
      </c>
      <c r="O1829" s="2137">
        <f>'Part IX A-Scoring Criteria'!O275</f>
        <v>4.3299999999999998E-2</v>
      </c>
      <c r="P1829" s="2137">
        <f>'Part IX A-Scoring Criteria'!P275</f>
        <v>0</v>
      </c>
      <c r="Q1829" s="2135"/>
      <c r="R1829" s="2135"/>
    </row>
    <row r="1830" spans="1:26" ht="12.75" customHeight="1">
      <c r="B1830" s="2093" t="s">
        <v>2552</v>
      </c>
      <c r="C1830" s="1156" t="s">
        <v>2407</v>
      </c>
      <c r="G1830" s="1156" t="s">
        <v>2408</v>
      </c>
      <c r="L1830" s="1872" t="s">
        <v>2752</v>
      </c>
      <c r="M1830" s="1629"/>
      <c r="N1830" s="2059" t="s">
        <v>2552</v>
      </c>
      <c r="O1830" s="1934" t="str">
        <f>'Part IX A-Scoring Criteria'!O276</f>
        <v>Upper</v>
      </c>
      <c r="P1830" s="1934" t="str">
        <f>'Part IX A-Scoring Criteria'!P276</f>
        <v>&lt;Select&gt;</v>
      </c>
      <c r="Q1830" s="2135"/>
      <c r="R1830" s="2135"/>
    </row>
    <row r="1831" spans="1:26" ht="12.75" customHeight="1">
      <c r="A1831" s="1953"/>
      <c r="B1831" s="2098" t="s">
        <v>1236</v>
      </c>
      <c r="C1831" s="1936" t="s">
        <v>4849</v>
      </c>
      <c r="D1831" s="1936"/>
      <c r="E1831" s="1936"/>
      <c r="F1831" s="1936"/>
      <c r="G1831" s="1936"/>
      <c r="H1831" s="1936"/>
      <c r="I1831" s="1936"/>
      <c r="J1831" s="2138" t="s">
        <v>4086</v>
      </c>
      <c r="K1831" s="2138" t="s">
        <v>4084</v>
      </c>
      <c r="L1831" s="1953"/>
      <c r="M1831" s="1831">
        <v>2</v>
      </c>
      <c r="N1831" s="2059" t="s">
        <v>1236</v>
      </c>
      <c r="O1831" s="1988" t="str">
        <f>'Part IX A-Scoring Criteria'!O277</f>
        <v>N/a</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4149</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3626</v>
      </c>
      <c r="C1834" s="1156"/>
      <c r="G1834" s="1156"/>
      <c r="M1834" s="1828">
        <v>2</v>
      </c>
      <c r="N1834" s="1858" t="s">
        <v>757</v>
      </c>
      <c r="O1834" s="1840">
        <f>'Part IX A-Scoring Criteria'!O280</f>
        <v>2</v>
      </c>
      <c r="P1834" s="1840">
        <f>'Part IX A-Scoring Criteria'!P280</f>
        <v>0</v>
      </c>
    </row>
    <row r="1835" spans="1:26">
      <c r="A1835" s="1879"/>
      <c r="B1835" s="1999" t="s">
        <v>3630</v>
      </c>
      <c r="C1835" s="1999"/>
      <c r="D1835" s="1999"/>
      <c r="E1835" s="1999"/>
      <c r="F1835" s="1999"/>
      <c r="G1835" s="1999"/>
      <c r="H1835" s="1944"/>
      <c r="I1835" s="1944"/>
      <c r="N1835" s="1824"/>
      <c r="O1835" s="1934" t="str">
        <f>'Part IX A-Scoring Criteria'!O281</f>
        <v>A2</v>
      </c>
      <c r="P1835" s="1934" t="str">
        <f>'Part IX A-Scoring Criteria'!P281</f>
        <v>&lt;Select&gt;</v>
      </c>
    </row>
    <row r="1836" spans="1:26">
      <c r="A1836" s="1879" t="s">
        <v>2132</v>
      </c>
      <c r="B1836" s="2093" t="s">
        <v>3628</v>
      </c>
      <c r="C1836" s="1156"/>
      <c r="G1836" s="2010" t="s">
        <v>3629</v>
      </c>
      <c r="H1836" s="2144">
        <f>'Part VI-Revenues &amp; Expenses'!$O$59</f>
        <v>17</v>
      </c>
      <c r="I1836" s="1986" t="s">
        <v>3632</v>
      </c>
      <c r="J1836" s="2144">
        <f>'Part VI-Revenues &amp; Expenses'!$O$62</f>
        <v>84</v>
      </c>
      <c r="K1836" s="1986" t="s">
        <v>3633</v>
      </c>
      <c r="L1836" s="2145">
        <f>IF(J1836=0,0,H1836/J1836)</f>
        <v>0.20238095238095238</v>
      </c>
      <c r="M1836" s="1828">
        <v>2</v>
      </c>
      <c r="N1836" s="1829" t="s">
        <v>2132</v>
      </c>
      <c r="O1836" s="1837">
        <f>'Part IX A-Scoring Criteria'!O282</f>
        <v>2</v>
      </c>
      <c r="P1836" s="1837">
        <f>'Part IX A-Scoring Criteria'!P282</f>
        <v>2</v>
      </c>
    </row>
    <row r="1837" spans="1:26" ht="15">
      <c r="A1837" s="1629"/>
      <c r="B1837" s="1937" t="s">
        <v>1881</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4088</v>
      </c>
      <c r="C1840" s="2040"/>
      <c r="D1840" s="2041"/>
      <c r="E1840" s="2041"/>
      <c r="F1840" s="2040"/>
      <c r="G1840" s="2040"/>
      <c r="H1840" s="1631"/>
      <c r="I1840" s="2146" t="s">
        <v>3829</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2000</v>
      </c>
      <c r="B1841" s="2147" t="s">
        <v>3820</v>
      </c>
      <c r="D1841" s="1996"/>
      <c r="E1841" s="1996"/>
      <c r="F1841" s="1996"/>
      <c r="G1841" s="1996"/>
      <c r="H1841" s="1996"/>
      <c r="I1841" s="1996"/>
      <c r="J1841" s="1996"/>
      <c r="K1841" s="1996"/>
      <c r="L1841" s="1996"/>
      <c r="M1841" s="2148" t="str">
        <f>IF(OR(SUM(T1841:T1842)&gt;1,SUM(U1841:U1842)&gt;1),"Only one category can be met by other means!","")</f>
        <v/>
      </c>
      <c r="N1841" s="1977" t="s">
        <v>2000</v>
      </c>
      <c r="O1841" s="1942" t="str">
        <f>'Part IX A-Scoring Criteria'!O287</f>
        <v>N/a</v>
      </c>
      <c r="P1841" s="1942">
        <f>'Part IX A-Scoring Criteria'!P287</f>
        <v>0</v>
      </c>
      <c r="U1841" s="1986">
        <f>IF(L1841="Yes",1,0)</f>
        <v>0</v>
      </c>
    </row>
    <row r="1842" spans="1:26">
      <c r="A1842" s="1836" t="s">
        <v>2002</v>
      </c>
      <c r="B1842" s="2147" t="s">
        <v>3821</v>
      </c>
      <c r="D1842" s="1996"/>
      <c r="L1842" s="1996"/>
      <c r="M1842" s="2148"/>
      <c r="N1842" s="1977" t="s">
        <v>2002</v>
      </c>
      <c r="O1842" s="1942" t="str">
        <f>'Part IX A-Scoring Criteria'!O288</f>
        <v>N/a</v>
      </c>
      <c r="P1842" s="1942">
        <f>'Part IX A-Scoring Criteria'!P288</f>
        <v>0</v>
      </c>
      <c r="U1842" s="1986">
        <f>IF(L1842="Yes",1,0)</f>
        <v>0</v>
      </c>
    </row>
    <row r="1843" spans="1:26" ht="15">
      <c r="A1843" s="1629"/>
      <c r="B1843" s="2041" t="s">
        <v>3782</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45">
      <c r="A1844" s="1936" t="str">
        <f>'Part IX A-Scoring Criteria'!A290</f>
        <v xml:space="preserve">Applicant is not claiming points in this section.  </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1881</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2476</v>
      </c>
      <c r="C1848" s="2022"/>
      <c r="D1848" s="2058"/>
      <c r="E1848" s="2058"/>
      <c r="F1848" s="2058"/>
      <c r="G1848" s="2022"/>
      <c r="H1848" s="2071" t="s">
        <v>3414</v>
      </c>
      <c r="I1848" s="2022"/>
      <c r="J1848" s="1933" t="s">
        <v>2814</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2000</v>
      </c>
      <c r="B1849" s="1844" t="s">
        <v>4850</v>
      </c>
      <c r="D1849" s="1629"/>
      <c r="E1849" s="1629"/>
      <c r="F1849" s="1629"/>
      <c r="H1849" s="1933" t="s">
        <v>3710</v>
      </c>
      <c r="I1849" s="1156"/>
      <c r="J1849" s="1933" t="str">
        <f>'Part I-Project Information'!$O$34</f>
        <v>No</v>
      </c>
      <c r="K1849" s="1933"/>
      <c r="L1849" s="2088">
        <f>'Part I-Project Information'!$O$35</f>
        <v>0</v>
      </c>
      <c r="M1849" s="1828">
        <v>3</v>
      </c>
      <c r="N1849" s="1977" t="s">
        <v>2000</v>
      </c>
      <c r="O1849" s="2021">
        <f>'Part IX A-Scoring Criteria'!O295</f>
        <v>0</v>
      </c>
      <c r="P1849" s="2021">
        <f>'Part IX A-Scoring Criteria'!P295</f>
        <v>0</v>
      </c>
      <c r="Q1849" s="2061" t="str">
        <f>IF(OR($O1849=$M1849,$O1849=0,$O1849=""),"","*CHECK!*")</f>
        <v/>
      </c>
      <c r="R1849" s="2105" t="s">
        <v>2726</v>
      </c>
    </row>
    <row r="1850" spans="1:26" ht="12.75" customHeight="1">
      <c r="A1850" s="1156"/>
      <c r="B1850" s="2098" t="s">
        <v>2003</v>
      </c>
      <c r="C1850" s="1936" t="s">
        <v>4246</v>
      </c>
      <c r="D1850" s="1936"/>
      <c r="E1850" s="1936"/>
      <c r="F1850" s="1936"/>
      <c r="G1850" s="1936"/>
      <c r="H1850" s="1936"/>
      <c r="I1850" s="1936"/>
      <c r="J1850" s="1936"/>
      <c r="K1850" s="1936"/>
      <c r="L1850" s="1936"/>
      <c r="M1850" s="1936"/>
      <c r="N1850" s="2048" t="s">
        <v>2003</v>
      </c>
      <c r="O1850" s="1988" t="str">
        <f>'Part IX A-Scoring Criteria'!O296</f>
        <v>N/a</v>
      </c>
      <c r="P1850" s="1988">
        <f>'Part IX A-Scoring Criteria'!P296</f>
        <v>0</v>
      </c>
      <c r="Q1850" s="1936" t="s">
        <v>4851</v>
      </c>
      <c r="R1850" s="1936"/>
      <c r="S1850" s="1936"/>
      <c r="T1850" s="1936"/>
      <c r="U1850" s="1936"/>
      <c r="V1850" s="1936"/>
      <c r="W1850" s="1936"/>
      <c r="X1850" s="1936"/>
      <c r="Y1850" s="1936"/>
      <c r="Z1850" s="1936"/>
    </row>
    <row r="1851" spans="1:26">
      <c r="A1851" s="478"/>
      <c r="B1851" s="2093"/>
      <c r="C1851" s="478" t="s">
        <v>3835</v>
      </c>
      <c r="D1851" s="478"/>
      <c r="E1851" s="478"/>
      <c r="F1851" s="478"/>
      <c r="G1851" s="478"/>
      <c r="H1851" s="1872" t="s">
        <v>2601</v>
      </c>
      <c r="I1851" s="2086">
        <f>'Part IX A-Scoring Criteria'!I297</f>
        <v>0</v>
      </c>
      <c r="J1851" s="1872"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3891</v>
      </c>
      <c r="D1852" s="478"/>
      <c r="E1852" s="478"/>
      <c r="F1852" s="478"/>
      <c r="G1852" s="478"/>
      <c r="H1852" s="1872" t="s">
        <v>2601</v>
      </c>
      <c r="I1852" s="2086">
        <f>'Part IX A-Scoring Criteria'!I298</f>
        <v>0</v>
      </c>
      <c r="J1852" s="1872"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2005</v>
      </c>
      <c r="C1853" s="478" t="s">
        <v>972</v>
      </c>
      <c r="D1853" s="478"/>
      <c r="E1853" s="478"/>
      <c r="F1853" s="478"/>
      <c r="G1853" s="478"/>
      <c r="H1853" s="478"/>
      <c r="I1853" s="478"/>
      <c r="J1853" s="478"/>
      <c r="K1853" s="478"/>
      <c r="L1853" s="478"/>
      <c r="M1853" s="1828"/>
      <c r="N1853" s="2059" t="s">
        <v>2005</v>
      </c>
      <c r="O1853" s="1942" t="str">
        <f>'Part IX A-Scoring Criteria'!O299</f>
        <v>N/a</v>
      </c>
      <c r="P1853" s="1942">
        <f>'Part IX A-Scoring Criteria'!P299</f>
        <v>0</v>
      </c>
      <c r="Q1853" s="478"/>
      <c r="R1853" s="478"/>
      <c r="S1853" s="478"/>
      <c r="T1853" s="478"/>
      <c r="U1853" s="478"/>
      <c r="V1853" s="478"/>
      <c r="W1853" s="478"/>
      <c r="X1853" s="478"/>
      <c r="Y1853" s="478"/>
      <c r="Z1853" s="478"/>
    </row>
    <row r="1854" spans="1:26">
      <c r="A1854" s="478"/>
      <c r="B1854" s="2093" t="s">
        <v>2552</v>
      </c>
      <c r="C1854" s="478" t="s">
        <v>973</v>
      </c>
      <c r="D1854" s="478"/>
      <c r="E1854" s="478"/>
      <c r="F1854" s="478"/>
      <c r="G1854" s="478"/>
      <c r="H1854" s="478"/>
      <c r="I1854" s="478"/>
      <c r="J1854" s="478"/>
      <c r="K1854" s="478"/>
      <c r="L1854" s="478"/>
      <c r="M1854" s="1828"/>
      <c r="N1854" s="2059" t="s">
        <v>2552</v>
      </c>
      <c r="O1854" s="1942" t="str">
        <f>'Part IX A-Scoring Criteria'!O300</f>
        <v>N/a</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t="str">
        <f>'Part IX A-Scoring Criteria'!O301</f>
        <v>N/a</v>
      </c>
      <c r="P1855" s="1942">
        <f>'Part IX A-Scoring Criteria'!P301</f>
        <v>0</v>
      </c>
      <c r="Q1855" s="478"/>
      <c r="R1855" s="478"/>
      <c r="S1855" s="478"/>
      <c r="T1855" s="478"/>
      <c r="U1855" s="478"/>
      <c r="V1855" s="478"/>
      <c r="W1855" s="478"/>
      <c r="X1855" s="478"/>
      <c r="Y1855" s="478"/>
      <c r="Z1855" s="478"/>
    </row>
    <row r="1856" spans="1:26">
      <c r="A1856" s="1836" t="s">
        <v>2002</v>
      </c>
      <c r="B1856" s="1844" t="s">
        <v>4852</v>
      </c>
      <c r="C1856" s="1629"/>
      <c r="D1856" s="1629"/>
      <c r="E1856" s="1629"/>
      <c r="F1856" s="1629"/>
      <c r="G1856" s="1629"/>
      <c r="H1856" s="2071" t="s">
        <v>3415</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3634</v>
      </c>
      <c r="C1857" s="1629"/>
      <c r="D1857" s="1629"/>
      <c r="E1857" s="1629"/>
      <c r="F1857" s="1629"/>
      <c r="G1857" s="1629"/>
      <c r="H1857" s="2071"/>
      <c r="I1857" s="1629"/>
      <c r="J1857" s="1629"/>
      <c r="K1857" s="1629"/>
      <c r="L1857" s="1629"/>
      <c r="M1857" s="1828">
        <v>3</v>
      </c>
      <c r="N1857" s="1977" t="s">
        <v>2002</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2003</v>
      </c>
      <c r="C1858" s="1933" t="s">
        <v>4853</v>
      </c>
      <c r="D1858" s="1629"/>
      <c r="E1858" s="1629"/>
      <c r="F1858" s="1629"/>
      <c r="G1858" s="1629"/>
      <c r="H1858" s="1629"/>
      <c r="I1858" s="1629"/>
      <c r="J1858" s="1629"/>
      <c r="K1858" s="1629"/>
      <c r="L1858" s="1985" t="str">
        <f>IF(OR($O1858=$M1858,$O1858=0,$O1858=""),"","* * Check Score! * *")</f>
        <v/>
      </c>
      <c r="M1858" s="1828">
        <v>3</v>
      </c>
      <c r="N1858" s="2091" t="s">
        <v>2003</v>
      </c>
      <c r="O1858" s="2021">
        <f>'Part IX A-Scoring Criteria'!O304</f>
        <v>3</v>
      </c>
      <c r="P1858" s="2021">
        <f>'Part IX A-Scoring Criteria'!P304</f>
        <v>0</v>
      </c>
      <c r="Q1858" s="2061" t="str">
        <f>IF(OR($O1858=$M1858,$O1858=0,$O1858=""),"","*CHECK!*")</f>
        <v/>
      </c>
      <c r="R1858" s="2105" t="s">
        <v>2726</v>
      </c>
      <c r="S1858" s="1629"/>
      <c r="T1858" s="1629"/>
      <c r="U1858" s="1629"/>
      <c r="V1858" s="1629"/>
      <c r="W1858" s="1629"/>
      <c r="X1858" s="1629"/>
      <c r="Y1858" s="1629"/>
      <c r="Z1858" s="1629"/>
    </row>
    <row r="1859" spans="1:26">
      <c r="A1859" s="1942" t="s">
        <v>1365</v>
      </c>
      <c r="B1859" s="2098" t="s">
        <v>2005</v>
      </c>
      <c r="C1859" s="1993" t="s">
        <v>4854</v>
      </c>
      <c r="D1859" s="1629"/>
      <c r="E1859" s="1629"/>
      <c r="F1859" s="1629"/>
      <c r="G1859" s="1872"/>
      <c r="H1859" s="2071"/>
      <c r="I1859" s="1872"/>
      <c r="L1859" s="1985" t="str">
        <f>IF(OR($O1859=$M1859,$O1859=0,$O1859=""),"","* * Check Score! * *")</f>
        <v/>
      </c>
      <c r="M1859" s="1824">
        <v>2</v>
      </c>
      <c r="N1859" s="2091" t="s">
        <v>2005</v>
      </c>
      <c r="O1859" s="2021">
        <f>'Part IX A-Scoring Criteria'!O305</f>
        <v>0</v>
      </c>
      <c r="P1859" s="2021">
        <f>'Part IX A-Scoring Criteria'!P305</f>
        <v>0</v>
      </c>
      <c r="Q1859" s="2061" t="str">
        <f>IF(OR($O1859=$M1859,$O1859=0,$O1859=""),"","*CHECK!*")</f>
        <v/>
      </c>
      <c r="R1859" s="2105" t="s">
        <v>2726</v>
      </c>
    </row>
    <row r="1860" spans="1:26">
      <c r="A1860" s="1836" t="s">
        <v>757</v>
      </c>
      <c r="B1860" s="1844" t="s">
        <v>4855</v>
      </c>
      <c r="C1860" s="1629"/>
      <c r="D1860" s="1629"/>
      <c r="E1860" s="1629"/>
      <c r="F1860" s="1629"/>
      <c r="G1860" s="1629"/>
      <c r="H1860" s="2071" t="s">
        <v>4094</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3637</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2003</v>
      </c>
      <c r="C1862" s="1156" t="s">
        <v>3636</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2003</v>
      </c>
      <c r="O1862" s="2021">
        <f>'Part IX A-Scoring Criteria'!O308</f>
        <v>0</v>
      </c>
      <c r="P1862" s="2021">
        <f>'Part IX A-Scoring Criteria'!P308</f>
        <v>0</v>
      </c>
      <c r="Q1862" s="2061" t="str">
        <f>IF(OR($O1862=$M1862,$O1862=0,$O1862=""),"","*CHECK!*")</f>
        <v/>
      </c>
      <c r="R1862" s="2105" t="s">
        <v>2726</v>
      </c>
      <c r="S1862" s="1629"/>
      <c r="T1862" s="1629"/>
      <c r="U1862" s="1629"/>
      <c r="V1862" s="1629"/>
      <c r="W1862" s="1629"/>
      <c r="X1862" s="1629"/>
      <c r="Y1862" s="1629"/>
      <c r="Z1862" s="1629"/>
    </row>
    <row r="1863" spans="1:26">
      <c r="A1863" s="1942" t="s">
        <v>1365</v>
      </c>
      <c r="B1863" s="2098" t="s">
        <v>2005</v>
      </c>
      <c r="C1863" s="1933" t="s">
        <v>4856</v>
      </c>
      <c r="D1863" s="1629"/>
      <c r="E1863" s="1629"/>
      <c r="F1863" s="1629"/>
      <c r="G1863" s="1872"/>
      <c r="H1863" s="1873"/>
      <c r="I1863" s="1872"/>
      <c r="K1863" s="1841"/>
      <c r="L1863" s="1841"/>
      <c r="M1863" s="1824">
        <v>3</v>
      </c>
      <c r="N1863" s="2091" t="s">
        <v>2005</v>
      </c>
      <c r="O1863" s="2021">
        <f>'Part IX A-Scoring Criteria'!O309</f>
        <v>0</v>
      </c>
      <c r="P1863" s="2021">
        <f>'Part IX A-Scoring Criteria'!P309</f>
        <v>0</v>
      </c>
      <c r="Q1863" s="2061" t="str">
        <f t="shared" ref="Q1863:Q1864" si="326">IF(OR($O1863=$M1863,$O1863=0,$O1863=""),"","*CHECK!*")</f>
        <v/>
      </c>
      <c r="R1863" s="2105" t="s">
        <v>2726</v>
      </c>
    </row>
    <row r="1864" spans="1:26">
      <c r="A1864" s="1942" t="s">
        <v>1365</v>
      </c>
      <c r="B1864" s="2098" t="s">
        <v>2552</v>
      </c>
      <c r="C1864" s="1993" t="s">
        <v>4857</v>
      </c>
      <c r="D1864" s="1629"/>
      <c r="E1864" s="1629"/>
      <c r="F1864" s="1629"/>
      <c r="G1864" s="1872"/>
      <c r="H1864" s="2071"/>
      <c r="I1864" s="1872"/>
      <c r="K1864" s="1841"/>
      <c r="L1864" s="1841"/>
      <c r="M1864" s="1824">
        <v>2</v>
      </c>
      <c r="N1864" s="2091" t="s">
        <v>2552</v>
      </c>
      <c r="O1864" s="2021">
        <f>'Part IX A-Scoring Criteria'!O310</f>
        <v>0</v>
      </c>
      <c r="P1864" s="2021">
        <f>'Part IX A-Scoring Criteria'!P310</f>
        <v>0</v>
      </c>
      <c r="Q1864" s="2061" t="str">
        <f t="shared" si="326"/>
        <v/>
      </c>
      <c r="R1864" s="2105" t="s">
        <v>2726</v>
      </c>
    </row>
    <row r="1865" spans="1:26" ht="15">
      <c r="A1865" s="1629"/>
      <c r="B1865" s="2041" t="s">
        <v>3782</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247.5">
      <c r="A1866" s="1936" t="str">
        <f>'Part IX A-Scoring Criteria'!A312</f>
        <v>Applicant is taking points in this section because Grayling Place is not within a 1-mile radius of a 9% Georgia Housing Credit development that has received an award in the last six (6) DCA competitive funding cycles.</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1881</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2847</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2000</v>
      </c>
      <c r="B1871" s="1844" t="s">
        <v>2250</v>
      </c>
      <c r="C1871" s="2040"/>
      <c r="D1871" s="2071"/>
      <c r="E1871" s="2071"/>
      <c r="F1871" s="2018"/>
      <c r="H1871" s="2040"/>
      <c r="I1871" s="2040"/>
      <c r="J1871" s="2040"/>
      <c r="K1871" s="2040"/>
      <c r="L1871" s="1985" t="str">
        <f>IF(OR($O1871=$M1871,$O1871=0,$O1871=""),"","* * Check Score! * *")</f>
        <v/>
      </c>
      <c r="M1871" s="1828">
        <v>1</v>
      </c>
      <c r="N1871" s="1977" t="s">
        <v>2000</v>
      </c>
      <c r="O1871" s="2021">
        <f>'Part IX A-Scoring Criteria'!O317</f>
        <v>1</v>
      </c>
      <c r="P1871" s="2021">
        <f>'Part IX A-Scoring Criteria'!P317</f>
        <v>0</v>
      </c>
      <c r="Q1871" s="2061" t="str">
        <f>IF(OR($O1871=$M1871,$O1871=0,$O1871=""),"","*CHECK!*")</f>
        <v/>
      </c>
      <c r="R1871" s="2105" t="s">
        <v>2726</v>
      </c>
      <c r="S1871" s="2040"/>
      <c r="T1871" s="2089"/>
      <c r="U1871" s="2089"/>
      <c r="V1871" s="2040"/>
      <c r="W1871" s="2040"/>
      <c r="X1871" s="2040"/>
      <c r="Y1871" s="2040"/>
      <c r="Z1871" s="2040"/>
    </row>
    <row r="1872" spans="1:26" ht="18.75">
      <c r="A1872" s="1855"/>
      <c r="B1872" s="1872" t="s">
        <v>2709</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2002</v>
      </c>
      <c r="B1873" s="1844" t="s">
        <v>2251</v>
      </c>
      <c r="C1873" s="2022"/>
      <c r="D1873" s="478"/>
      <c r="E1873" s="2022"/>
      <c r="F1873" s="2022"/>
      <c r="G1873" s="2022"/>
      <c r="H1873" s="2022"/>
      <c r="I1873" s="2022"/>
      <c r="J1873" s="2022"/>
      <c r="K1873" s="478"/>
      <c r="L1873" s="1985" t="str">
        <f>IF(OR($O1873=$M1873,$O1873=0,$O1873=""),"","* * Check Score! * *")</f>
        <v/>
      </c>
      <c r="M1873" s="1828">
        <v>1</v>
      </c>
      <c r="N1873" s="1977" t="s">
        <v>2002</v>
      </c>
      <c r="O1873" s="2021">
        <f>'Part IX A-Scoring Criteria'!O319</f>
        <v>0</v>
      </c>
      <c r="P1873" s="2021">
        <f>'Part IX A-Scoring Criteria'!P319</f>
        <v>0</v>
      </c>
      <c r="Q1873" s="2061" t="str">
        <f>IF(OR($O1873=$M1873,$O1873=0,$O1873=""),"","*CHECK!*")</f>
        <v/>
      </c>
      <c r="R1873" s="2105" t="s">
        <v>2726</v>
      </c>
      <c r="S1873" s="2022"/>
      <c r="T1873" s="2089"/>
      <c r="U1873" s="2089"/>
      <c r="V1873" s="2022"/>
      <c r="W1873" s="2022"/>
      <c r="X1873" s="2022"/>
      <c r="Y1873" s="2022"/>
      <c r="Z1873" s="2022"/>
    </row>
    <row r="1874" spans="1:26" ht="18.75">
      <c r="A1874" s="1855"/>
      <c r="B1874" s="1872" t="s">
        <v>4095</v>
      </c>
      <c r="C1874" s="2022"/>
      <c r="D1874" s="478"/>
      <c r="E1874" s="2022"/>
      <c r="F1874" s="2022"/>
      <c r="G1874" s="2022"/>
      <c r="H1874" s="1934"/>
      <c r="I1874" s="2022"/>
      <c r="J1874" s="2022"/>
      <c r="K1874" s="478"/>
      <c r="L1874" s="2040"/>
      <c r="M1874" s="1828"/>
      <c r="N1874" s="1977"/>
      <c r="O1874" s="1942" t="str">
        <f>'Part IX A-Scoring Criteria'!O320</f>
        <v>No</v>
      </c>
      <c r="P1874" s="1942">
        <f>'Part IX A-Scoring Criteria'!P320</f>
        <v>0</v>
      </c>
      <c r="Q1874" s="1876"/>
      <c r="R1874" s="1985"/>
      <c r="S1874" s="2022"/>
      <c r="T1874" s="2089"/>
      <c r="U1874" s="2089"/>
      <c r="V1874" s="2022"/>
      <c r="W1874" s="2022"/>
      <c r="X1874" s="2022"/>
      <c r="Y1874" s="2022"/>
      <c r="Z1874" s="2022"/>
    </row>
    <row r="1875" spans="1:26" ht="15">
      <c r="A1875" s="1629"/>
      <c r="B1875" s="1937" t="s">
        <v>1881</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2802</v>
      </c>
      <c r="B1878" s="2024" t="s">
        <v>4096</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2002</v>
      </c>
      <c r="B1879" s="1844" t="s">
        <v>4097</v>
      </c>
      <c r="C1879" s="1894"/>
      <c r="D1879" s="1999"/>
      <c r="E1879" s="478"/>
      <c r="F1879" s="2022"/>
      <c r="G1879" s="1881">
        <f>'Part IX A-Scoring Criteria'!G325</f>
        <v>0</v>
      </c>
      <c r="H1879" s="2022"/>
      <c r="I1879" s="2022"/>
      <c r="J1879" s="1872" t="s">
        <v>2704</v>
      </c>
      <c r="K1879" s="2022"/>
      <c r="L1879" s="478"/>
      <c r="M1879" s="2022"/>
      <c r="N1879" s="2022"/>
      <c r="O1879" s="1831" t="str">
        <f>'Part I-Project Information'!$H$96</f>
        <v>No</v>
      </c>
      <c r="P1879" s="1837">
        <f>'Part IX A-Scoring Criteria'!P325</f>
        <v>0</v>
      </c>
      <c r="Q1879" s="1837"/>
      <c r="R1879" s="2022"/>
      <c r="S1879" s="2022"/>
      <c r="T1879" s="2022"/>
      <c r="U1879" s="2022"/>
      <c r="V1879" s="2022"/>
      <c r="W1879" s="2022"/>
      <c r="X1879" s="2022"/>
      <c r="Y1879" s="2022"/>
      <c r="Z1879" s="2022"/>
    </row>
    <row r="1880" spans="1:26" ht="15">
      <c r="A1880" s="1855"/>
      <c r="B1880" s="2094" t="s">
        <v>2003</v>
      </c>
      <c r="C1880" s="478" t="s">
        <v>3484</v>
      </c>
      <c r="D1880" s="1629"/>
      <c r="E1880" s="2040"/>
      <c r="F1880" s="2040"/>
      <c r="G1880" s="2040"/>
      <c r="H1880" s="2040"/>
      <c r="I1880" s="2040"/>
      <c r="J1880" s="2040"/>
      <c r="K1880" s="2040"/>
      <c r="L1880" s="2040"/>
      <c r="M1880" s="2040"/>
      <c r="N1880" s="2091" t="s">
        <v>2003</v>
      </c>
      <c r="O1880" s="1942" t="str">
        <f>'Part IX A-Scoring Criteria'!O326</f>
        <v>No</v>
      </c>
      <c r="P1880" s="1942">
        <f>'Part IX A-Scoring Criteria'!P326</f>
        <v>0</v>
      </c>
      <c r="Q1880" s="2040"/>
      <c r="R1880" s="1985"/>
      <c r="S1880" s="2040"/>
      <c r="T1880" s="2040"/>
      <c r="U1880" s="2040"/>
      <c r="V1880" s="2040"/>
      <c r="W1880" s="2040"/>
      <c r="X1880" s="2040"/>
      <c r="Y1880" s="2040"/>
      <c r="Z1880" s="2040"/>
    </row>
    <row r="1881" spans="1:26" ht="15">
      <c r="A1881" s="1855"/>
      <c r="B1881" s="2094" t="s">
        <v>2005</v>
      </c>
      <c r="C1881" s="478" t="s">
        <v>4116</v>
      </c>
      <c r="D1881" s="1629"/>
      <c r="E1881" s="2040"/>
      <c r="F1881" s="2040"/>
      <c r="G1881" s="2040"/>
      <c r="H1881" s="2040"/>
      <c r="I1881" s="2040"/>
      <c r="J1881" s="2040"/>
      <c r="K1881" s="2040"/>
      <c r="L1881" s="2040"/>
      <c r="M1881" s="2040"/>
      <c r="N1881" s="2091" t="s">
        <v>2005</v>
      </c>
      <c r="O1881" s="1942" t="str">
        <f>'Part IX A-Scoring Criteria'!O327</f>
        <v>N/a</v>
      </c>
      <c r="P1881" s="1942">
        <f>'Part IX A-Scoring Criteria'!P327</f>
        <v>0</v>
      </c>
      <c r="Q1881" s="2040"/>
      <c r="R1881" s="1985"/>
      <c r="S1881" s="2040"/>
      <c r="T1881" s="2040"/>
      <c r="U1881" s="2040"/>
      <c r="V1881" s="2040"/>
      <c r="W1881" s="2040"/>
      <c r="X1881" s="2040"/>
      <c r="Y1881" s="2040"/>
      <c r="Z1881" s="2040"/>
    </row>
    <row r="1882" spans="1:26" ht="15">
      <c r="A1882" s="1855"/>
      <c r="B1882" s="2094" t="s">
        <v>2552</v>
      </c>
      <c r="C1882" s="478" t="s">
        <v>4115</v>
      </c>
      <c r="D1882" s="1629"/>
      <c r="E1882" s="2040"/>
      <c r="F1882" s="2040"/>
      <c r="G1882" s="2040"/>
      <c r="H1882" s="2040"/>
      <c r="I1882" s="2040"/>
      <c r="J1882" s="2040"/>
      <c r="K1882" s="2040"/>
      <c r="L1882" s="2040"/>
      <c r="M1882" s="2040"/>
      <c r="N1882" s="2091" t="s">
        <v>2552</v>
      </c>
      <c r="O1882" s="1942" t="str">
        <f>'Part IX A-Scoring Criteria'!O328</f>
        <v>N/a</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4117</v>
      </c>
      <c r="D1883" s="1629"/>
      <c r="E1883" s="2040"/>
      <c r="F1883" s="2040"/>
      <c r="G1883" s="2040"/>
      <c r="H1883" s="2040"/>
      <c r="I1883" s="2040"/>
      <c r="J1883" s="2040"/>
      <c r="K1883" s="2040"/>
      <c r="L1883" s="2040"/>
      <c r="M1883" s="2040"/>
      <c r="N1883" s="2091" t="s">
        <v>1236</v>
      </c>
      <c r="O1883" s="1942" t="str">
        <f>'Part IX A-Scoring Criteria'!O329</f>
        <v>N/a</v>
      </c>
      <c r="P1883" s="1942">
        <f>'Part IX A-Scoring Criteria'!P329</f>
        <v>0</v>
      </c>
      <c r="Q1883" s="2040"/>
      <c r="R1883" s="1985"/>
      <c r="S1883" s="2040"/>
      <c r="T1883" s="2040"/>
      <c r="U1883" s="2040"/>
      <c r="V1883" s="2040"/>
      <c r="W1883" s="2040"/>
      <c r="X1883" s="2040"/>
      <c r="Y1883" s="2040"/>
      <c r="Z1883" s="2040"/>
    </row>
    <row r="1884" spans="1:26" ht="15">
      <c r="A1884" s="1855" t="s">
        <v>2000</v>
      </c>
      <c r="B1884" s="1844" t="s">
        <v>4098</v>
      </c>
      <c r="C1884" s="1894"/>
      <c r="D1884" s="1999"/>
      <c r="E1884" s="478"/>
      <c r="F1884" s="2022"/>
      <c r="G1884" s="1881" t="str">
        <f>'Part IX A-Scoring Criteria'!G330</f>
        <v>The Housing Authority of the City of Columbus</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2003</v>
      </c>
      <c r="C1885" s="478" t="s">
        <v>3484</v>
      </c>
      <c r="D1885" s="478"/>
      <c r="E1885" s="478"/>
      <c r="F1885" s="2040"/>
      <c r="G1885" s="2040"/>
      <c r="H1885" s="2040"/>
      <c r="I1885" s="2040"/>
      <c r="J1885" s="2040"/>
      <c r="K1885" s="2040"/>
      <c r="L1885" s="2040"/>
      <c r="M1885" s="1837"/>
      <c r="N1885" s="2091" t="s">
        <v>2003</v>
      </c>
      <c r="O1885" s="1942" t="str">
        <f>'Part IX A-Scoring Criteria'!O331</f>
        <v>N/a</v>
      </c>
      <c r="P1885" s="1942">
        <f>'Part IX A-Scoring Criteria'!P331</f>
        <v>0</v>
      </c>
      <c r="Q1885" s="1837"/>
      <c r="R1885" s="2040"/>
      <c r="S1885" s="2040"/>
      <c r="T1885" s="2040"/>
      <c r="U1885" s="2040"/>
      <c r="V1885" s="2040"/>
      <c r="W1885" s="2040"/>
      <c r="X1885" s="2040"/>
      <c r="Y1885" s="2040"/>
      <c r="Z1885" s="2040"/>
    </row>
    <row r="1886" spans="1:26" ht="15">
      <c r="A1886" s="1855"/>
      <c r="B1886" s="2094" t="s">
        <v>2005</v>
      </c>
      <c r="C1886" s="478" t="s">
        <v>4129</v>
      </c>
      <c r="D1886" s="1629"/>
      <c r="E1886" s="2040"/>
      <c r="F1886" s="2040"/>
      <c r="G1886" s="2040"/>
      <c r="H1886" s="2040"/>
      <c r="I1886" s="2040"/>
      <c r="J1886" s="2040"/>
      <c r="K1886" s="2040"/>
      <c r="L1886" s="2040"/>
      <c r="M1886" s="2040"/>
      <c r="N1886" s="2091" t="s">
        <v>2005</v>
      </c>
      <c r="O1886" s="1942" t="str">
        <f>'Part IX A-Scoring Criteria'!O332</f>
        <v>N/a</v>
      </c>
      <c r="P1886" s="1942">
        <f>'Part IX A-Scoring Criteria'!P332</f>
        <v>0</v>
      </c>
      <c r="Q1886" s="2040"/>
      <c r="R1886" s="1985"/>
      <c r="S1886" s="2040"/>
      <c r="T1886" s="2040"/>
      <c r="U1886" s="2040"/>
      <c r="V1886" s="2040"/>
      <c r="W1886" s="2040"/>
      <c r="X1886" s="2040"/>
      <c r="Y1886" s="2040"/>
      <c r="Z1886" s="2040"/>
    </row>
    <row r="1887" spans="1:26" ht="15">
      <c r="A1887" s="1855"/>
      <c r="B1887" s="2094" t="s">
        <v>2552</v>
      </c>
      <c r="C1887" s="478" t="s">
        <v>4117</v>
      </c>
      <c r="D1887" s="1629"/>
      <c r="E1887" s="2040"/>
      <c r="F1887" s="2040"/>
      <c r="G1887" s="2040"/>
      <c r="H1887" s="2040"/>
      <c r="I1887" s="2040"/>
      <c r="J1887" s="2040"/>
      <c r="K1887" s="2040"/>
      <c r="L1887" s="2040"/>
      <c r="M1887" s="2040"/>
      <c r="N1887" s="2091" t="s">
        <v>2552</v>
      </c>
      <c r="O1887" s="1942" t="str">
        <f>'Part IX A-Scoring Criteria'!O333</f>
        <v>N/a</v>
      </c>
      <c r="P1887" s="1942">
        <f>'Part IX A-Scoring Criteria'!P333</f>
        <v>0</v>
      </c>
      <c r="Q1887" s="2040"/>
      <c r="R1887" s="1985"/>
      <c r="S1887" s="2040"/>
      <c r="T1887" s="2040"/>
      <c r="U1887" s="2040"/>
      <c r="V1887" s="2040"/>
      <c r="W1887" s="2040"/>
      <c r="X1887" s="2040"/>
      <c r="Y1887" s="2040"/>
      <c r="Z1887" s="2040"/>
    </row>
    <row r="1888" spans="1:26" ht="15">
      <c r="A1888" s="2022"/>
      <c r="B1888" s="1937" t="s">
        <v>1881</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2268</v>
      </c>
      <c r="B1891" s="2024" t="s">
        <v>4099</v>
      </c>
      <c r="C1891" s="2082"/>
      <c r="D1891" s="2082"/>
      <c r="E1891" s="2082"/>
      <c r="F1891" s="2082"/>
      <c r="G1891" s="2082"/>
      <c r="H1891" s="478" t="s">
        <v>3602</v>
      </c>
      <c r="I1891" s="1969" t="str">
        <f>'Part I-Project Information'!$H$100</f>
        <v>Flexible</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2726</v>
      </c>
      <c r="S1891" s="2082"/>
      <c r="T1891" s="2082"/>
      <c r="U1891" s="2082"/>
      <c r="V1891" s="2082"/>
      <c r="W1891" s="2082"/>
      <c r="X1891" s="2082"/>
      <c r="Y1891" s="2082"/>
      <c r="Z1891" s="2082"/>
    </row>
    <row r="1892" spans="1:26" ht="15" customHeight="1">
      <c r="A1892" s="1936" t="s">
        <v>4858</v>
      </c>
      <c r="B1892" s="1936"/>
      <c r="C1892" s="1936"/>
      <c r="D1892" s="1936"/>
      <c r="E1892" s="1936"/>
      <c r="F1892" s="1936"/>
      <c r="G1892" s="1936"/>
      <c r="H1892" s="1936"/>
      <c r="I1892" s="1961" t="s">
        <v>4198</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3782</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180">
      <c r="A1896" s="1936" t="str">
        <f>'Part IX A-Scoring Criteria'!A342</f>
        <v>Applicant is claiming the Priority point on this application.  This is the only application in which Project Team members have a direct /indirect interest.</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1881</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4153</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2000</v>
      </c>
      <c r="B1901" s="1969" t="s">
        <v>3641</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2726</v>
      </c>
      <c r="S1901" s="2022"/>
      <c r="T1901" s="2022"/>
      <c r="U1901" s="2022"/>
      <c r="V1901" s="2022"/>
      <c r="W1901" s="2022"/>
      <c r="X1901" s="2022"/>
      <c r="Y1901" s="2022"/>
      <c r="Z1901" s="2022"/>
    </row>
    <row r="1902" spans="1:26" ht="15">
      <c r="A1902" s="2022"/>
      <c r="B1902" s="1872" t="s">
        <v>4103</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2000</v>
      </c>
      <c r="O1902" s="1986" t="s">
        <v>2528</v>
      </c>
      <c r="P1902" s="1986" t="s">
        <v>2528</v>
      </c>
      <c r="Q1902" s="2022"/>
      <c r="R1902" s="2022"/>
      <c r="S1902" s="2022"/>
      <c r="T1902" s="2022"/>
      <c r="U1902" s="2022"/>
      <c r="V1902" s="2022"/>
      <c r="W1902" s="2022"/>
      <c r="X1902" s="2022"/>
      <c r="Y1902" s="2022"/>
      <c r="Z1902" s="2022"/>
    </row>
    <row r="1903" spans="1:26">
      <c r="A1903" s="478"/>
      <c r="B1903" s="2091" t="s">
        <v>2003</v>
      </c>
      <c r="C1903" s="1872" t="s">
        <v>4100</v>
      </c>
      <c r="D1903" s="478"/>
      <c r="E1903" s="478"/>
      <c r="F1903" s="478"/>
      <c r="G1903" s="478"/>
      <c r="H1903" s="478"/>
      <c r="I1903" s="478"/>
      <c r="J1903" s="478"/>
      <c r="K1903" s="478"/>
      <c r="L1903" s="478"/>
      <c r="M1903" s="478"/>
      <c r="N1903" s="2091" t="s">
        <v>2003</v>
      </c>
      <c r="O1903" s="1942" t="str">
        <f>'Part IX A-Scoring Criteria'!O349</f>
        <v>N/a</v>
      </c>
      <c r="P1903" s="1942">
        <f>'Part IX A-Scoring Criteria'!P349</f>
        <v>0</v>
      </c>
      <c r="Q1903" s="478"/>
      <c r="R1903" s="478"/>
      <c r="S1903" s="478"/>
      <c r="T1903" s="478"/>
      <c r="U1903" s="478"/>
      <c r="V1903" s="478"/>
      <c r="W1903" s="478"/>
      <c r="X1903" s="478"/>
      <c r="Y1903" s="478"/>
      <c r="Z1903" s="478"/>
    </row>
    <row r="1904" spans="1:26">
      <c r="A1904" s="478"/>
      <c r="B1904" s="2091" t="s">
        <v>2005</v>
      </c>
      <c r="C1904" s="1872" t="s">
        <v>4101</v>
      </c>
      <c r="D1904" s="478"/>
      <c r="E1904" s="478"/>
      <c r="F1904" s="478"/>
      <c r="G1904" s="478"/>
      <c r="H1904" s="478"/>
      <c r="I1904" s="478"/>
      <c r="J1904" s="478"/>
      <c r="K1904" s="478"/>
      <c r="L1904" s="478"/>
      <c r="M1904" s="478"/>
      <c r="N1904" s="2091" t="s">
        <v>2005</v>
      </c>
      <c r="O1904" s="1942" t="str">
        <f>'Part IX A-Scoring Criteria'!O350</f>
        <v>N/a</v>
      </c>
      <c r="P1904" s="1942">
        <f>'Part IX A-Scoring Criteria'!P350</f>
        <v>0</v>
      </c>
      <c r="Q1904" s="478"/>
      <c r="R1904" s="478"/>
      <c r="S1904" s="478"/>
      <c r="T1904" s="478"/>
      <c r="U1904" s="478"/>
      <c r="V1904" s="478"/>
      <c r="W1904" s="478"/>
      <c r="X1904" s="478"/>
      <c r="Y1904" s="478"/>
      <c r="Z1904" s="478"/>
    </row>
    <row r="1905" spans="1:26">
      <c r="A1905" s="478"/>
      <c r="B1905" s="2091" t="s">
        <v>2552</v>
      </c>
      <c r="C1905" s="1872" t="s">
        <v>4102</v>
      </c>
      <c r="D1905" s="478"/>
      <c r="E1905" s="478"/>
      <c r="F1905" s="478"/>
      <c r="G1905" s="478"/>
      <c r="H1905" s="478"/>
      <c r="I1905" s="478"/>
      <c r="J1905" s="478"/>
      <c r="K1905" s="478"/>
      <c r="L1905" s="478"/>
      <c r="M1905" s="478"/>
      <c r="N1905" s="2091" t="s">
        <v>2552</v>
      </c>
      <c r="O1905" s="1942" t="str">
        <f>'Part IX A-Scoring Criteria'!O351</f>
        <v>N/a</v>
      </c>
      <c r="P1905" s="1942">
        <f>'Part IX A-Scoring Criteria'!P351</f>
        <v>0</v>
      </c>
      <c r="Q1905" s="478"/>
      <c r="R1905" s="478"/>
      <c r="S1905" s="478"/>
      <c r="T1905" s="478"/>
      <c r="U1905" s="478"/>
      <c r="V1905" s="478"/>
      <c r="W1905" s="478"/>
      <c r="X1905" s="478"/>
      <c r="Y1905" s="478"/>
      <c r="Z1905" s="478"/>
    </row>
    <row r="1906" spans="1:26">
      <c r="A1906" s="1156"/>
      <c r="B1906" s="2045" t="s">
        <v>3642</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2002</v>
      </c>
      <c r="B1908" s="1844" t="s">
        <v>2817</v>
      </c>
      <c r="D1908" s="1629"/>
      <c r="H1908" s="2150" t="s">
        <v>3510</v>
      </c>
      <c r="I1908" s="2150"/>
      <c r="J1908" s="2150"/>
      <c r="K1908" s="2150"/>
      <c r="L1908" s="2150"/>
      <c r="M1908" s="1831">
        <v>1</v>
      </c>
      <c r="N1908" s="1977" t="s">
        <v>2002</v>
      </c>
      <c r="O1908" s="2021">
        <f>'Part IX A-Scoring Criteria'!O354</f>
        <v>0</v>
      </c>
      <c r="P1908" s="2021">
        <f>'Part IX A-Scoring Criteria'!P354</f>
        <v>0</v>
      </c>
      <c r="Q1908" s="2061" t="str">
        <f>IF(OR($O1908=$M1908,$O1908=0,$O1908=""),"","*CHECK!*")</f>
        <v/>
      </c>
      <c r="R1908" s="2105" t="s">
        <v>2726</v>
      </c>
    </row>
    <row r="1909" spans="1:26">
      <c r="A1909" s="1629"/>
      <c r="B1909" s="478" t="s">
        <v>2818</v>
      </c>
      <c r="C1909" s="1629"/>
      <c r="D1909" s="1629"/>
      <c r="E1909" s="1629"/>
      <c r="F1909" s="1629"/>
      <c r="G1909" s="1629"/>
      <c r="H1909" s="1629"/>
      <c r="I1909" s="1629"/>
      <c r="J1909" s="1629"/>
      <c r="K1909" s="1629"/>
      <c r="L1909" s="1629"/>
      <c r="M1909" s="1629"/>
      <c r="N1909" s="1629"/>
      <c r="O1909" s="1942" t="str">
        <f>'Part IX A-Scoring Criteria'!O355</f>
        <v>N/a</v>
      </c>
      <c r="P1909" s="1942">
        <f>'Part IX A-Scoring Criteria'!P355</f>
        <v>0</v>
      </c>
      <c r="Q1909" s="1631"/>
      <c r="R1909" s="1629"/>
      <c r="S1909" s="1629"/>
      <c r="T1909" s="1629"/>
      <c r="U1909" s="1629"/>
      <c r="V1909" s="1629"/>
      <c r="W1909" s="1629"/>
      <c r="X1909" s="1629"/>
      <c r="Y1909" s="1629"/>
      <c r="Z1909" s="1629"/>
    </row>
    <row r="1910" spans="1:26">
      <c r="A1910" s="1975"/>
      <c r="B1910" s="478" t="s">
        <v>3644</v>
      </c>
      <c r="C1910" s="478" t="str">
        <f>'Part I-Project Information'!$F$38</f>
        <v>Columbus</v>
      </c>
      <c r="D1910" s="1629"/>
      <c r="E1910" s="478" t="s">
        <v>3509</v>
      </c>
      <c r="F1910" s="478" t="str">
        <f>'Part I-Project Information'!$J$39</f>
        <v>Muscogee</v>
      </c>
      <c r="G1910" s="1629"/>
      <c r="H1910" s="1872" t="s">
        <v>455</v>
      </c>
      <c r="I1910" s="1872" t="str">
        <f>'Part I-Project Information'!$N$39</f>
        <v>No</v>
      </c>
      <c r="J1910" s="1629"/>
      <c r="K1910" s="1872" t="s">
        <v>3643</v>
      </c>
      <c r="L1910" s="2120" t="str">
        <f>'Part I-Project Information'!$O$38</f>
        <v>11.00</v>
      </c>
      <c r="M1910" s="2120"/>
      <c r="N1910" s="2120"/>
      <c r="O1910" s="2120"/>
      <c r="P1910" s="2120"/>
      <c r="Q1910" s="1629"/>
      <c r="R1910" s="1629"/>
      <c r="S1910" s="1629"/>
      <c r="T1910" s="1629"/>
      <c r="U1910" s="1629"/>
      <c r="V1910" s="1629"/>
      <c r="W1910" s="1629"/>
      <c r="X1910" s="1629"/>
      <c r="Y1910" s="1629"/>
      <c r="Z1910" s="1629"/>
    </row>
    <row r="1911" spans="1:26" ht="15">
      <c r="A1911" s="1629"/>
      <c r="B1911" s="2041" t="s">
        <v>3782</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45">
      <c r="A1912" s="1936" t="str">
        <f>'Part IX A-Scoring Criteria'!A358</f>
        <v>Applicant is not claiming points in this section.</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1881</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4154</v>
      </c>
      <c r="B1916" s="2024" t="s">
        <v>4106</v>
      </c>
      <c r="C1916" s="2022"/>
      <c r="D1916" s="1894"/>
      <c r="E1916" s="1894"/>
      <c r="F1916" s="478"/>
      <c r="G1916" s="478"/>
      <c r="H1916" s="1844" t="s">
        <v>2814</v>
      </c>
      <c r="I1916" s="2022"/>
      <c r="J1916" s="1844" t="str">
        <f>'Part I-Project Information'!$H$100</f>
        <v>Flexible</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2903</v>
      </c>
      <c r="C1917" s="2022"/>
      <c r="D1917" s="2022"/>
      <c r="E1917" s="1894"/>
      <c r="F1917" s="478"/>
      <c r="G1917" s="478"/>
      <c r="H1917" s="478"/>
      <c r="I1917" s="478"/>
      <c r="J1917" s="2022"/>
      <c r="K1917" s="1934"/>
      <c r="L1917" s="2151"/>
      <c r="M1917" s="2022"/>
      <c r="N1917" s="2022"/>
      <c r="O1917" s="1934" t="s">
        <v>2528</v>
      </c>
      <c r="P1917" s="1934" t="s">
        <v>2528</v>
      </c>
      <c r="Q1917" s="2022"/>
      <c r="R1917" s="2022"/>
      <c r="S1917" s="2022"/>
      <c r="T1917" s="2022"/>
      <c r="U1917" s="2022"/>
      <c r="V1917" s="2022"/>
      <c r="W1917" s="2022"/>
      <c r="X1917" s="2022"/>
      <c r="Y1917" s="2022"/>
      <c r="Z1917" s="2022"/>
    </row>
    <row r="1918" spans="1:26" ht="15">
      <c r="A1918" s="1156"/>
      <c r="B1918" s="1977" t="s">
        <v>2452</v>
      </c>
      <c r="C1918" s="1156" t="s">
        <v>2848</v>
      </c>
      <c r="D1918" s="1156"/>
      <c r="E1918" s="1894"/>
      <c r="F1918" s="478"/>
      <c r="G1918" s="478"/>
      <c r="H1918" s="478"/>
      <c r="I1918" s="478"/>
      <c r="J1918" s="2022"/>
      <c r="K1918" s="1934"/>
      <c r="L1918" s="2011" t="str">
        <f>IF(OR(O1918="No",O1918="",O1919="No",O1919="",O1920="No",O1920="",O1921="No",O1921=""),"Unmet criterion results in no points!","")</f>
        <v/>
      </c>
      <c r="M1918" s="2011"/>
      <c r="N1918" s="1977" t="s">
        <v>2452</v>
      </c>
      <c r="O1918" s="1942" t="str">
        <f>'Part IX A-Scoring Criteria'!O364</f>
        <v>N/a</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2453</v>
      </c>
      <c r="C1919" s="1156" t="s">
        <v>3838</v>
      </c>
      <c r="D1919" s="1156"/>
      <c r="E1919" s="1156"/>
      <c r="F1919" s="1156"/>
      <c r="G1919" s="1156"/>
      <c r="H1919" s="1156"/>
      <c r="I1919" s="1156"/>
      <c r="J1919" s="1156"/>
      <c r="K1919" s="1156"/>
      <c r="L1919" s="2011"/>
      <c r="M1919" s="2011"/>
      <c r="N1919" s="1987" t="s">
        <v>2453</v>
      </c>
      <c r="O1919" s="1942" t="str">
        <f>'Part IX A-Scoring Criteria'!O365</f>
        <v>N/a</v>
      </c>
      <c r="P1919" s="1942">
        <f>'Part IX A-Scoring Criteria'!P365</f>
        <v>0</v>
      </c>
      <c r="Q1919" s="1156"/>
      <c r="R1919" s="2011"/>
      <c r="S1919" s="2011"/>
      <c r="T1919" s="1156"/>
      <c r="U1919" s="1156"/>
      <c r="V1919" s="1156"/>
      <c r="W1919" s="1156"/>
      <c r="X1919" s="1156"/>
      <c r="Y1919" s="1156"/>
      <c r="Z1919" s="1156"/>
    </row>
    <row r="1920" spans="1:26">
      <c r="A1920" s="1156"/>
      <c r="B1920" s="1977" t="s">
        <v>2454</v>
      </c>
      <c r="C1920" s="1156" t="s">
        <v>3837</v>
      </c>
      <c r="D1920" s="1156"/>
      <c r="E1920" s="1156"/>
      <c r="F1920" s="1156"/>
      <c r="G1920" s="1156"/>
      <c r="H1920" s="1156"/>
      <c r="I1920" s="1156"/>
      <c r="J1920" s="1156"/>
      <c r="K1920" s="1156"/>
      <c r="L1920" s="2011"/>
      <c r="M1920" s="2011"/>
      <c r="N1920" s="1977" t="s">
        <v>2454</v>
      </c>
      <c r="O1920" s="1942" t="str">
        <f>'Part IX A-Scoring Criteria'!O366</f>
        <v>N/a</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2455</v>
      </c>
      <c r="C1921" s="1901" t="s">
        <v>4107</v>
      </c>
      <c r="D1921" s="1901"/>
      <c r="E1921" s="1901"/>
      <c r="F1921" s="1901"/>
      <c r="G1921" s="1901"/>
      <c r="H1921" s="1901"/>
      <c r="I1921" s="1901"/>
      <c r="J1921" s="1901"/>
      <c r="K1921" s="1901"/>
      <c r="L1921" s="1901"/>
      <c r="M1921" s="1901"/>
      <c r="N1921" s="1987" t="s">
        <v>2455</v>
      </c>
      <c r="O1921" s="1988" t="str">
        <f>'Part IX A-Scoring Criteria'!O367</f>
        <v>N/a</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2000</v>
      </c>
      <c r="B1923" s="1844" t="s">
        <v>4108</v>
      </c>
      <c r="L1923" s="1985" t="str">
        <f>IF(OR($O1923=$M1923,$O1923=0,$O1923=""),"","* * Check Score! * *")</f>
        <v/>
      </c>
      <c r="M1923" s="1831">
        <v>3</v>
      </c>
      <c r="N1923" s="1977" t="s">
        <v>2000</v>
      </c>
      <c r="O1923" s="2021">
        <f>'Part IX A-Scoring Criteria'!O369</f>
        <v>0</v>
      </c>
      <c r="P1923" s="2021">
        <f>'Part IX A-Scoring Criteria'!P369</f>
        <v>0</v>
      </c>
      <c r="Q1923" s="2061" t="str">
        <f>IF(OR($O1923=$M1923,$O1923=0,$O1923=""),"","*CHECK!*")</f>
        <v/>
      </c>
      <c r="R1923" s="2105" t="s">
        <v>2726</v>
      </c>
    </row>
    <row r="1924" spans="1:26" ht="12.75" customHeight="1">
      <c r="A1924" s="2152"/>
      <c r="B1924" s="2074" t="s">
        <v>2003</v>
      </c>
      <c r="C1924" s="1936" t="s">
        <v>4109</v>
      </c>
      <c r="D1924" s="1936"/>
      <c r="E1924" s="1936"/>
      <c r="F1924" s="1936"/>
      <c r="G1924" s="1936"/>
      <c r="H1924" s="1936"/>
      <c r="I1924" s="1936"/>
      <c r="J1924" s="2085" t="s">
        <v>2007</v>
      </c>
      <c r="K1924" s="2085"/>
      <c r="M1924" s="2085" t="s">
        <v>2007</v>
      </c>
      <c r="N1924" s="2085"/>
      <c r="O1924" s="2085"/>
      <c r="P1924" s="2085"/>
    </row>
    <row r="1925" spans="1:26" ht="15">
      <c r="A1925" s="1984"/>
      <c r="B1925" s="1977" t="s">
        <v>2452</v>
      </c>
      <c r="C1925" s="478" t="s">
        <v>1494</v>
      </c>
      <c r="D1925" s="2022"/>
      <c r="E1925" s="2022"/>
      <c r="F1925" s="2022"/>
      <c r="G1925" s="2022"/>
      <c r="H1925" s="2022"/>
      <c r="I1925" s="1977" t="s">
        <v>2452</v>
      </c>
      <c r="J1925" s="1889">
        <f>'Part IX A-Scoring Criteria'!J371</f>
        <v>0</v>
      </c>
      <c r="K1925" s="1889">
        <f>'Part IX A-Scoring Criteria'!K371</f>
        <v>0</v>
      </c>
      <c r="L1925" s="1977" t="s">
        <v>2452</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2453</v>
      </c>
      <c r="C1926" s="478" t="s">
        <v>3648</v>
      </c>
      <c r="I1926" s="1987" t="s">
        <v>2453</v>
      </c>
      <c r="J1926" s="1889">
        <f>'Part IX A-Scoring Criteria'!J372</f>
        <v>0</v>
      </c>
      <c r="K1926" s="1889">
        <f>'Part IX A-Scoring Criteria'!K372</f>
        <v>0</v>
      </c>
      <c r="L1926" s="1987" t="s">
        <v>2453</v>
      </c>
      <c r="M1926" s="1889">
        <f>'Part IX A-Scoring Criteria'!M372</f>
        <v>0</v>
      </c>
      <c r="N1926" s="1889">
        <f>'Part IX A-Scoring Criteria'!N372</f>
        <v>0</v>
      </c>
      <c r="O1926" s="1889">
        <f>'Part IX A-Scoring Criteria'!O372</f>
        <v>0</v>
      </c>
      <c r="P1926" s="1889">
        <f>'Part IX A-Scoring Criteria'!P372</f>
        <v>0</v>
      </c>
      <c r="R1926" s="1985"/>
    </row>
    <row r="1927" spans="1:26">
      <c r="B1927" s="1977" t="s">
        <v>2454</v>
      </c>
      <c r="C1927" s="478" t="s">
        <v>2644</v>
      </c>
      <c r="I1927" s="1977" t="s">
        <v>2454</v>
      </c>
      <c r="J1927" s="1889">
        <f>'Part IX A-Scoring Criteria'!J373</f>
        <v>0</v>
      </c>
      <c r="K1927" s="1889">
        <f>'Part IX A-Scoring Criteria'!K373</f>
        <v>0</v>
      </c>
      <c r="L1927" s="1977" t="s">
        <v>2454</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2455</v>
      </c>
      <c r="C1928" s="478" t="s">
        <v>3485</v>
      </c>
      <c r="I1928" s="1977" t="s">
        <v>2455</v>
      </c>
      <c r="J1928" s="1889">
        <f>'Part IX A-Scoring Criteria'!J374</f>
        <v>0</v>
      </c>
      <c r="K1928" s="1889">
        <f>'Part IX A-Scoring Criteria'!K374</f>
        <v>0</v>
      </c>
      <c r="L1928" s="1977" t="s">
        <v>2455</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2456</v>
      </c>
      <c r="C1929" s="478" t="s">
        <v>2751</v>
      </c>
      <c r="D1929" s="2022"/>
      <c r="E1929" s="2022"/>
      <c r="F1929" s="2022"/>
      <c r="G1929" s="2022"/>
      <c r="H1929" s="2022"/>
      <c r="I1929" s="1987" t="s">
        <v>2456</v>
      </c>
      <c r="J1929" s="1889">
        <f>'Part IX A-Scoring Criteria'!J375</f>
        <v>0</v>
      </c>
      <c r="K1929" s="1889">
        <f>'Part IX A-Scoring Criteria'!K375</f>
        <v>0</v>
      </c>
      <c r="L1929" s="1987" t="s">
        <v>2456</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2472</v>
      </c>
      <c r="C1930" s="478" t="s">
        <v>1493</v>
      </c>
      <c r="I1930" s="1977" t="s">
        <v>2472</v>
      </c>
      <c r="J1930" s="1889">
        <f>'Part IX A-Scoring Criteria'!J376</f>
        <v>0</v>
      </c>
      <c r="K1930" s="1889">
        <f>'Part IX A-Scoring Criteria'!K376</f>
        <v>0</v>
      </c>
      <c r="L1930" s="1977" t="s">
        <v>2472</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2473</v>
      </c>
      <c r="C1931" s="478" t="s">
        <v>3646</v>
      </c>
      <c r="I1931" s="1977" t="s">
        <v>2473</v>
      </c>
      <c r="J1931" s="1889">
        <f>'Part IX A-Scoring Criteria'!J377</f>
        <v>0</v>
      </c>
      <c r="K1931" s="1889">
        <f>'Part IX A-Scoring Criteria'!K377</f>
        <v>0</v>
      </c>
      <c r="L1931" s="1977" t="s">
        <v>2473</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2474</v>
      </c>
      <c r="C1932" s="478" t="s">
        <v>4550</v>
      </c>
      <c r="I1932" s="1977" t="s">
        <v>2474</v>
      </c>
      <c r="J1932" s="1889">
        <f>'Part IX A-Scoring Criteria'!J378</f>
        <v>0</v>
      </c>
      <c r="K1932" s="1889">
        <f>'Part IX A-Scoring Criteria'!K378</f>
        <v>0</v>
      </c>
      <c r="L1932" s="1977" t="s">
        <v>2474</v>
      </c>
      <c r="M1932" s="1889">
        <f>'Part IX A-Scoring Criteria'!M378</f>
        <v>0</v>
      </c>
      <c r="N1932" s="1889">
        <f>'Part IX A-Scoring Criteria'!N378</f>
        <v>0</v>
      </c>
      <c r="O1932" s="1889">
        <f>'Part IX A-Scoring Criteria'!O378</f>
        <v>0</v>
      </c>
      <c r="P1932" s="1889">
        <f>'Part IX A-Scoring Criteria'!P378</f>
        <v>0</v>
      </c>
      <c r="R1932" s="1985"/>
    </row>
    <row r="1933" spans="1:26">
      <c r="B1933" s="1977" t="s">
        <v>2475</v>
      </c>
      <c r="C1933" s="478" t="s">
        <v>3647</v>
      </c>
      <c r="I1933" s="1977" t="s">
        <v>2475</v>
      </c>
      <c r="J1933" s="1889">
        <f>'Part IX A-Scoring Criteria'!J379</f>
        <v>0</v>
      </c>
      <c r="K1933" s="1889">
        <f>'Part IX A-Scoring Criteria'!K379</f>
        <v>0</v>
      </c>
      <c r="L1933" s="1977" t="s">
        <v>2475</v>
      </c>
      <c r="M1933" s="1889">
        <f>'Part IX A-Scoring Criteria'!M379</f>
        <v>0</v>
      </c>
      <c r="N1933" s="1889">
        <f>'Part IX A-Scoring Criteria'!N379</f>
        <v>0</v>
      </c>
      <c r="O1933" s="1889">
        <f>'Part IX A-Scoring Criteria'!O379</f>
        <v>0</v>
      </c>
      <c r="P1933" s="1889">
        <f>'Part IX A-Scoring Criteria'!P379</f>
        <v>0</v>
      </c>
      <c r="R1933" s="1985"/>
    </row>
    <row r="1934" spans="1:26">
      <c r="B1934" s="1977" t="s">
        <v>3649</v>
      </c>
      <c r="C1934" s="478" t="s">
        <v>4191</v>
      </c>
      <c r="I1934" s="1977" t="s">
        <v>3649</v>
      </c>
      <c r="J1934" s="1889">
        <f>'Part IX A-Scoring Criteria'!J380</f>
        <v>0</v>
      </c>
      <c r="K1934" s="1889">
        <f>'Part IX A-Scoring Criteria'!K380</f>
        <v>0</v>
      </c>
      <c r="L1934" s="1977" t="s">
        <v>3649</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4859</v>
      </c>
      <c r="H1935" s="1969" t="s">
        <v>2646</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2005</v>
      </c>
      <c r="C1937" s="1879" t="s">
        <v>2645</v>
      </c>
      <c r="E1937" s="1872" t="s">
        <v>2647</v>
      </c>
      <c r="H1937" s="1964">
        <f>'Part IX A-Scoring Criteria'!H383</f>
        <v>0</v>
      </c>
      <c r="I1937" s="1831"/>
      <c r="J1937" s="1889">
        <f>'Part IV-A-Uses of Funds'!$G$132</f>
        <v>16105048</v>
      </c>
      <c r="K1937" s="1889"/>
      <c r="M1937" s="1622"/>
      <c r="N1937" s="1622"/>
      <c r="P1937" s="1622"/>
    </row>
    <row r="1938" spans="1:26" ht="12.75" customHeight="1">
      <c r="A1938" s="1927" t="s">
        <v>4860</v>
      </c>
      <c r="B1938" s="1927"/>
      <c r="C1938" s="1927"/>
      <c r="D1938" s="1927"/>
      <c r="E1938" s="2010" t="s">
        <v>2648</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4300</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2002</v>
      </c>
      <c r="B1941" s="2045" t="s">
        <v>3650</v>
      </c>
      <c r="C1941" s="2040"/>
      <c r="D1941" s="478"/>
      <c r="E1941" s="478"/>
      <c r="F1941" s="1837"/>
      <c r="G1941" s="2040"/>
      <c r="H1941" s="478"/>
      <c r="I1941" s="1837"/>
      <c r="J1941" s="1872"/>
      <c r="K1941" s="1872"/>
      <c r="L1941" s="1985" t="str">
        <f>IF(OR($O1941=$M1941,$O1941=0,$O1941=""),"","* * Check Score! * *")</f>
        <v/>
      </c>
      <c r="M1941" s="1831">
        <v>1</v>
      </c>
      <c r="N1941" s="1977" t="s">
        <v>2002</v>
      </c>
      <c r="O1941" s="2021">
        <f>'Part IX A-Scoring Criteria'!O387</f>
        <v>0</v>
      </c>
      <c r="P1941" s="2021">
        <f>'Part IX A-Scoring Criteria'!P387</f>
        <v>0</v>
      </c>
      <c r="Q1941" s="1837" t="s">
        <v>443</v>
      </c>
      <c r="R1941" s="2105" t="s">
        <v>2726</v>
      </c>
      <c r="S1941" s="2040"/>
      <c r="T1941" s="2040"/>
      <c r="U1941" s="2040"/>
      <c r="V1941" s="2089"/>
      <c r="W1941" s="2089"/>
      <c r="X1941" s="2040"/>
      <c r="Y1941" s="2040"/>
      <c r="Z1941" s="2040"/>
    </row>
    <row r="1942" spans="1:26" ht="18.75" customHeight="1">
      <c r="A1942" s="1855"/>
      <c r="B1942" s="1987" t="s">
        <v>2452</v>
      </c>
      <c r="C1942" s="1936" t="s">
        <v>4110</v>
      </c>
      <c r="D1942" s="1936"/>
      <c r="E1942" s="1936"/>
      <c r="F1942" s="1936"/>
      <c r="G1942" s="1936"/>
      <c r="H1942" s="1936"/>
      <c r="I1942" s="1936"/>
      <c r="J1942" s="1936"/>
      <c r="K1942" s="1936"/>
      <c r="L1942" s="1936"/>
      <c r="M1942" s="1936"/>
      <c r="N1942" s="1987" t="s">
        <v>2452</v>
      </c>
      <c r="O1942" s="1988" t="str">
        <f>'Part IX A-Scoring Criteria'!O388</f>
        <v>N/a</v>
      </c>
      <c r="P1942" s="1988">
        <f>'Part IX A-Scoring Criteria'!P388</f>
        <v>0</v>
      </c>
      <c r="Q1942" s="2022"/>
      <c r="R1942" s="2022"/>
      <c r="S1942" s="2022"/>
      <c r="T1942" s="2022"/>
      <c r="U1942" s="2022"/>
      <c r="V1942" s="2089"/>
      <c r="W1942" s="2089"/>
      <c r="X1942" s="2022"/>
      <c r="Y1942" s="2022"/>
      <c r="Z1942" s="2022"/>
    </row>
    <row r="1943" spans="1:26" ht="18.75">
      <c r="A1943" s="1855"/>
      <c r="B1943" s="1977" t="s">
        <v>2453</v>
      </c>
      <c r="C1943" s="478" t="s">
        <v>3830</v>
      </c>
      <c r="D1943" s="478"/>
      <c r="E1943" s="478"/>
      <c r="F1943" s="478"/>
      <c r="G1943" s="478"/>
      <c r="H1943" s="478"/>
      <c r="I1943" s="478"/>
      <c r="J1943" s="478"/>
      <c r="K1943" s="478"/>
      <c r="L1943" s="2022"/>
      <c r="M1943" s="478"/>
      <c r="N1943" s="1987" t="s">
        <v>2453</v>
      </c>
      <c r="O1943" s="1942" t="str">
        <f>'Part IX A-Scoring Criteria'!O389</f>
        <v>N/a</v>
      </c>
      <c r="P1943" s="1942">
        <f>'Part IX A-Scoring Criteria'!P389</f>
        <v>0</v>
      </c>
      <c r="Q1943" s="2022"/>
      <c r="R1943" s="2022"/>
      <c r="S1943" s="2022"/>
      <c r="T1943" s="2022"/>
      <c r="U1943" s="2022"/>
      <c r="V1943" s="2089"/>
      <c r="W1943" s="2089"/>
      <c r="X1943" s="2022"/>
      <c r="Y1943" s="2022"/>
      <c r="Z1943" s="2022"/>
    </row>
    <row r="1944" spans="1:26">
      <c r="B1944" s="1977" t="s">
        <v>2454</v>
      </c>
      <c r="C1944" s="1156" t="s">
        <v>4111</v>
      </c>
      <c r="N1944" s="1977" t="s">
        <v>2454</v>
      </c>
      <c r="O1944" s="1942" t="str">
        <f>'Part IX A-Scoring Criteria'!O390</f>
        <v>N/a</v>
      </c>
      <c r="P1944" s="1942">
        <f>'Part IX A-Scoring Criteria'!P390</f>
        <v>0</v>
      </c>
    </row>
    <row r="1945" spans="1:26">
      <c r="B1945" s="2041" t="s">
        <v>3782</v>
      </c>
      <c r="N1945" s="1824"/>
      <c r="O1945" s="1826"/>
      <c r="P1945" s="1826"/>
    </row>
    <row r="1946" spans="1:26" ht="45">
      <c r="A1946" s="1936" t="str">
        <f>'Part IX A-Scoring Criteria'!A392</f>
        <v>Applicant is not claiming points in this section.</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1881</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4152</v>
      </c>
      <c r="B1950" s="2022"/>
      <c r="C1950" s="2024" t="s">
        <v>2739</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2000</v>
      </c>
      <c r="B1951" s="1844" t="s">
        <v>3676</v>
      </c>
      <c r="C1951" s="2022"/>
      <c r="D1951" s="1629"/>
      <c r="E1951" s="1629"/>
      <c r="F1951" s="1629"/>
      <c r="G1951" s="2022"/>
      <c r="H1951" s="2022"/>
      <c r="I1951" s="2022"/>
      <c r="J1951" s="1872" t="s">
        <v>3841</v>
      </c>
      <c r="K1951" s="2022"/>
      <c r="L1951" s="1909">
        <f>'Part VI-Revenues &amp; Expenses'!$O$62*0.1</f>
        <v>8.4</v>
      </c>
      <c r="M1951" s="1828">
        <v>2</v>
      </c>
      <c r="N1951" s="1977" t="s">
        <v>2000</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2003</v>
      </c>
      <c r="C1952" s="1936" t="s">
        <v>3840</v>
      </c>
      <c r="D1952" s="1936"/>
      <c r="E1952" s="1936"/>
      <c r="F1952" s="1936"/>
      <c r="G1952" s="1936"/>
      <c r="H1952" s="1936"/>
      <c r="I1952" s="1936"/>
      <c r="J1952" s="1872" t="s">
        <v>3843</v>
      </c>
      <c r="K1952" s="2022"/>
      <c r="L1952" s="1909">
        <f>'Part VI-Revenues &amp; Expenses'!$O$58</f>
        <v>67</v>
      </c>
      <c r="M1952" s="1861" t="str">
        <f>IF(L1954&lt;L1953,"Check 1BR LI count!","")</f>
        <v/>
      </c>
      <c r="N1952" s="2048" t="s">
        <v>2003</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3844</v>
      </c>
      <c r="K1953" s="2073"/>
      <c r="L1953" s="1909">
        <f>L1952*0.1</f>
        <v>6.7</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3845</v>
      </c>
      <c r="K1954" s="2073"/>
      <c r="L1954" s="1909">
        <f>'Part VI-Revenues &amp; Expenses'!$K$58</f>
        <v>8</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2005</v>
      </c>
      <c r="C1955" s="1936" t="s">
        <v>3417</v>
      </c>
      <c r="D1955" s="1936"/>
      <c r="E1955" s="1936"/>
      <c r="F1955" s="1936"/>
      <c r="G1955" s="1936"/>
      <c r="H1955" s="1936"/>
      <c r="I1955" s="1936"/>
      <c r="J1955" s="1936"/>
      <c r="K1955" s="1936"/>
      <c r="L1955" s="1936"/>
      <c r="M1955" s="1936"/>
      <c r="N1955" s="2048" t="s">
        <v>2005</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2552</v>
      </c>
      <c r="C1956" s="1936" t="s">
        <v>3842</v>
      </c>
      <c r="D1956" s="1936"/>
      <c r="E1956" s="1936"/>
      <c r="F1956" s="1936"/>
      <c r="G1956" s="1936"/>
      <c r="H1956" s="1936"/>
      <c r="I1956" s="1936"/>
      <c r="J1956" s="1936"/>
      <c r="K1956" s="1936"/>
      <c r="L1956" s="1936"/>
      <c r="M1956" s="1936"/>
      <c r="N1956" s="2048" t="s">
        <v>2552</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3839</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2002</v>
      </c>
      <c r="B1959" s="1844" t="s">
        <v>2740</v>
      </c>
      <c r="C1959" s="2022"/>
      <c r="D1959" s="1872"/>
      <c r="E1959" s="2022"/>
      <c r="F1959" s="2022"/>
      <c r="G1959" s="478"/>
      <c r="H1959" s="2022"/>
      <c r="I1959" s="2022"/>
      <c r="J1959" s="2022"/>
      <c r="K1959" s="2022"/>
      <c r="L1959" s="2022"/>
      <c r="M1959" s="1828">
        <v>3</v>
      </c>
      <c r="N1959" s="1977" t="s">
        <v>2002</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2003</v>
      </c>
      <c r="C1960" s="1936" t="s">
        <v>3862</v>
      </c>
      <c r="D1960" s="1936"/>
      <c r="E1960" s="1936"/>
      <c r="F1960" s="1936"/>
      <c r="G1960" s="1936"/>
      <c r="H1960" s="1936"/>
      <c r="I1960" s="1936"/>
      <c r="J1960" s="1936"/>
      <c r="K1960" s="1936"/>
      <c r="L1960" s="1936"/>
      <c r="M1960" s="1936"/>
      <c r="N1960" s="2048" t="s">
        <v>2003</v>
      </c>
      <c r="O1960" s="1988" t="str">
        <f>'Part IX A-Scoring Criteria'!O406</f>
        <v>Disagree</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3681</v>
      </c>
      <c r="D1961" s="1939"/>
      <c r="E1961" s="1939"/>
      <c r="F1961" s="1939"/>
      <c r="G1961" s="1707">
        <f>'Part IX A-Scoring Criteria'!G407</f>
        <v>0</v>
      </c>
      <c r="H1961" s="1707">
        <f>'Part IX A-Scoring Criteria'!H407</f>
        <v>0</v>
      </c>
      <c r="I1961" s="1707">
        <f>'Part IX A-Scoring Criteria'!I407</f>
        <v>0</v>
      </c>
      <c r="J1961" s="2157" t="s">
        <v>3682</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2005</v>
      </c>
      <c r="C1962" s="1961" t="s">
        <v>3418</v>
      </c>
      <c r="D1962" s="1961"/>
      <c r="E1962" s="1961"/>
      <c r="F1962" s="1961"/>
      <c r="G1962" s="1961"/>
      <c r="H1962" s="1961"/>
      <c r="I1962" s="1961"/>
      <c r="J1962" s="1961" t="s">
        <v>3680</v>
      </c>
      <c r="K1962" s="1961"/>
      <c r="L1962" s="1909">
        <v>0</v>
      </c>
      <c r="M1962" s="2159">
        <f>IF('Part VI-Revenues &amp; Expenses'!$O$62=0,0,L1962/'Part VI-Revenues &amp; Expenses'!$O$62)</f>
        <v>0</v>
      </c>
      <c r="N1962" s="2048" t="s">
        <v>2005</v>
      </c>
      <c r="O1962" s="1988" t="str">
        <f>'Part IX A-Scoring Criteria'!O408</f>
        <v>Disagree</v>
      </c>
      <c r="P1962" s="1988">
        <f>'Part IX A-Scoring Criteria'!P408</f>
        <v>0</v>
      </c>
      <c r="Q1962" s="1961"/>
      <c r="R1962" s="1961"/>
      <c r="S1962" s="1961"/>
      <c r="T1962" s="1961"/>
      <c r="U1962" s="1961"/>
      <c r="V1962" s="1961"/>
      <c r="W1962" s="1961"/>
      <c r="X1962" s="1961"/>
      <c r="Y1962" s="1961"/>
      <c r="Z1962" s="1961"/>
    </row>
    <row r="1963" spans="1:26" ht="15">
      <c r="A1963" s="1629"/>
      <c r="B1963" s="2041" t="s">
        <v>3782</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409.5">
      <c r="A1964" s="1936" t="str">
        <f>'Part IX A-Scoring Criteria'!A410</f>
        <v>Applicant agrees to accept Section 811 project based rental assistance or other DCA offered rental assistance for up to 10% of the units for the purpose of providing integrated housing opportunities to persons with disabilities. Applicant is eligible for these points because at 10% of the low-income units in the Application are one bedroom units.  The Applicant is willing to accept Assistance set for 50% AMI tenants.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1881</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4155</v>
      </c>
      <c r="B1968" s="2024" t="s">
        <v>2741</v>
      </c>
      <c r="C1968" s="2022"/>
      <c r="D1968" s="1872"/>
      <c r="E1968" s="2022"/>
      <c r="F1968" s="2022"/>
      <c r="G1968" s="2071" t="s">
        <v>3414</v>
      </c>
      <c r="H1968" s="2022"/>
      <c r="I1968" s="2022"/>
      <c r="J1968" s="478" t="s">
        <v>3420</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3486</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2851</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2000</v>
      </c>
      <c r="B1972" s="1933" t="s">
        <v>4861</v>
      </c>
      <c r="C1972" s="1961"/>
      <c r="D1972" s="1961"/>
      <c r="E1972" s="1961"/>
      <c r="F1972" s="1961"/>
      <c r="G1972" s="1961"/>
      <c r="H1972" s="1961"/>
      <c r="I1972" s="1961"/>
      <c r="J1972" s="2073"/>
      <c r="K1972" s="2073"/>
      <c r="L1972" s="2073"/>
      <c r="M1972" s="2075">
        <v>1</v>
      </c>
      <c r="N1972" s="1987" t="s">
        <v>2000</v>
      </c>
      <c r="O1972" s="2021">
        <f>'Part IX A-Scoring Criteria'!O418</f>
        <v>0</v>
      </c>
      <c r="P1972" s="2021">
        <f>'Part IX A-Scoring Criteria'!P418</f>
        <v>0</v>
      </c>
      <c r="Q1972" s="2061" t="str">
        <f>IF(OR($O1972=$M1972,$O1972=0,$O1972=""),"","*CHECK!*")</f>
        <v/>
      </c>
      <c r="R1972" s="2105" t="s">
        <v>2726</v>
      </c>
      <c r="S1972" s="2073"/>
      <c r="T1972" s="2073"/>
      <c r="U1972" s="2073"/>
      <c r="V1972" s="2073"/>
      <c r="W1972" s="2073"/>
      <c r="X1972" s="2073"/>
      <c r="Y1972" s="2073"/>
      <c r="Z1972" s="2073"/>
    </row>
    <row r="1973" spans="1:26" ht="15" customHeight="1">
      <c r="A1973" s="2079"/>
      <c r="B1973" s="1901" t="s">
        <v>4248</v>
      </c>
      <c r="C1973" s="1901"/>
      <c r="D1973" s="1901"/>
      <c r="E1973" s="1901"/>
      <c r="F1973" s="1901"/>
      <c r="G1973" s="1901"/>
      <c r="H1973" s="1901"/>
      <c r="I1973" s="1901"/>
      <c r="J1973" s="1901"/>
      <c r="K1973" s="1901"/>
      <c r="L1973" s="1901"/>
      <c r="M1973" s="1936" t="s">
        <v>4862</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2849</v>
      </c>
      <c r="N1975" s="2075"/>
      <c r="O1975" s="2161">
        <f>'Part VI-Revenues &amp; Expenses'!$O$62</f>
        <v>84</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2850</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4863</v>
      </c>
      <c r="B1979" s="1932" t="s">
        <v>3380</v>
      </c>
      <c r="C1979" s="1961"/>
      <c r="D1979" s="2073"/>
      <c r="E1979" s="2073"/>
      <c r="F1979" s="2073"/>
      <c r="G1979" s="2073"/>
      <c r="H1979" s="1961"/>
      <c r="I1979" s="2073"/>
      <c r="J1979" s="2073"/>
      <c r="K1979" s="2073"/>
      <c r="L1979" s="2073"/>
      <c r="M1979" s="2075">
        <v>1</v>
      </c>
      <c r="N1979" s="1987" t="s">
        <v>2002</v>
      </c>
      <c r="O1979" s="2021">
        <f>'Part IX A-Scoring Criteria'!O425</f>
        <v>0</v>
      </c>
      <c r="P1979" s="2021">
        <f>'Part IX A-Scoring Criteria'!P425</f>
        <v>0</v>
      </c>
      <c r="Q1979" s="2061" t="str">
        <f>IF(OR($O1979=$M1979,$O1979=0,$O1979=""),"","*CHECK!*")</f>
        <v/>
      </c>
      <c r="R1979" s="2105" t="s">
        <v>2726</v>
      </c>
      <c r="S1979" s="2073"/>
      <c r="T1979" s="2073"/>
      <c r="U1979" s="2073"/>
      <c r="V1979" s="2073"/>
      <c r="W1979" s="2073"/>
      <c r="X1979" s="2073"/>
      <c r="Y1979" s="2073"/>
      <c r="Z1979" s="2073"/>
    </row>
    <row r="1980" spans="1:26" ht="15" customHeight="1">
      <c r="A1980" s="2163"/>
      <c r="B1980" s="1936" t="s">
        <v>4249</v>
      </c>
      <c r="C1980" s="1936"/>
      <c r="D1980" s="1936"/>
      <c r="E1980" s="1936"/>
      <c r="F1980" s="1936"/>
      <c r="G1980" s="1936"/>
      <c r="H1980" s="1936"/>
      <c r="I1980" s="1936"/>
      <c r="J1980" s="1936"/>
      <c r="K1980" s="1936"/>
      <c r="L1980" s="1936"/>
      <c r="M1980" s="1996" t="s">
        <v>2849</v>
      </c>
      <c r="N1980" s="2075"/>
      <c r="O1980" s="2161">
        <f>'Part VI-Revenues &amp; Expenses'!$O$62</f>
        <v>84</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2850</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3782</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45">
      <c r="A1983" s="1936" t="str">
        <f>'Part IX A-Scoring Criteria'!A429</f>
        <v>Applicant is not claiming points in this section.</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1881</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4156</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3684</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3685</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3686</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1881</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58</v>
      </c>
      <c r="P1995" s="2166">
        <f>P1562+P1597+P1611+P1621+P1648+P1665+P1707+P1743+P1782+P1824+P1840+P1848+P1870+P1878+P1891+P1900+P1916+P1950+P1968+P1987</f>
        <v>22</v>
      </c>
      <c r="Q1995" s="1629"/>
      <c r="R1995" s="1877">
        <f>'Part IX A-Scoring Criteria'!O441</f>
        <v>58</v>
      </c>
      <c r="S1995" s="1629"/>
      <c r="T1995" s="1629"/>
      <c r="U1995" s="1629"/>
      <c r="V1995" s="1629"/>
      <c r="W1995" s="1629"/>
      <c r="X1995" s="1629"/>
      <c r="Y1995" s="1629"/>
      <c r="Z1995" s="1629"/>
    </row>
    <row r="1996" spans="1:26" ht="15.75">
      <c r="A1996" s="2022"/>
      <c r="B1996" s="2164"/>
      <c r="C1996" s="2022"/>
      <c r="F1996" s="2020"/>
      <c r="G1996" s="2020"/>
      <c r="H1996" s="1844" t="s">
        <v>4243</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4244</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4252</v>
      </c>
      <c r="I1998" s="1837"/>
      <c r="J1998" s="1872"/>
      <c r="K1998" s="1872"/>
      <c r="L1998" s="1872"/>
      <c r="M1998" s="1934"/>
      <c r="N1998" s="1837"/>
      <c r="O1998" s="1826"/>
      <c r="P1998" s="2021">
        <f>P1995-P1996-P1997</f>
        <v>22</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3716</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409.5">
      <c r="A2001" s="1936" t="str">
        <f>'Part IX A-Scoring Criteria'!A447</f>
        <v>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set income limits at 50% AMI and gross rents at or below 30% of the 50% income limit for at least 20% of the units, and therefore, qualifies for 2 points.  There are 17 units at 50% AMI in this project.
Section 4:  Community Transportation:  Applicant is taking these points because the site is within a 0.25 mile walking distance of an established public transportation stop.  The East Wynnton Route bus stop is .2 miles from the site's first  pedestrian entrance and .05 miles from the site's  second pedestrian entrance.  See TAB 28 for Schedule, fares and route.
Section 5:  Stable Communities:  Applicant is claiming points in this section because Grayling Place is located in a stable community with Upper income designation and a pverty level of 4.33%.  The most recent FFIEC Consus Report demontrating the project meets these requirements can be found in TAB 29.
Section 6:  Enriched Properties:  Applicant has committed to promote and measure residents' positive health outcomes under the Healthy Housing Initiative and the Healthy Eating Initiative.  Applicant has proposed a plan called  Healthy Way that addresses diabetes, a locally relevant health issue.  Prevention and resident education are two ways Grayling Place intends to carry out this plan.  Through a partnership with Piedmont Columbus Regional Healthcare System, residents will have free access to Glucose Monitoring and Biometric Screenings.  The convenience of monthly onsite visits of the Mobile Health Unit will promote early intervention and referrals as necessary.  This program will also work with participant's knowledge about what their numbers mean, associated health implications and risks.  The program will provide informational pamphlets to residents explaining how certain behaviors can help improve their numbers. Residents will be encouraged to utilize Empowered to Serve, an online resource offering health lessons, work out videos and numerous articles relating to a healthy lifestyle.   Applicant has also proposed a Healthy Eating Initiative that addresses healthy eating.  Working with the Columbus Muscogee Extension office,  this will present opportunities for “cross learning” where Healthy Way participants can learn about how to put into practice some of the diet and nutrition suggestions offered by medical personnel.  The project will have a community garden accessible to all residents. This garden is noted on the CSP1. and CSP3. in Tab 15.  The Applicant will ensure that the basic organization and managment of the garden is maintained.  In addition, a monthly healthy eating newsletter will be sent to all residents to help them  gain a better understanding of healthy food preparation and garden maintenance.   See TAB 30 for required documentation.
Section 13:  Extended Affordability Commitment:  Applicant  is willing to forego the Qualified Contract Cancellation Option for at least 5 years after the close of the Compliance Period.
Section 22: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4257</v>
      </c>
    </row>
    <row r="2010" spans="1:26" ht="16.5">
      <c r="A2010" s="2169" t="str">
        <f>'Part I-Project Information'!$F$34</f>
        <v>Grayling Place</v>
      </c>
    </row>
    <row r="2011" spans="1:26" ht="16.5">
      <c r="A2011" s="2169" t="str">
        <f>CONCATENATE('Part I-Project Information'!$F$38,", ", 'Part I-Project Information'!$J$39," County")</f>
        <v>Columbus, Muscogee County</v>
      </c>
    </row>
    <row r="2013" spans="1:26" ht="12.75" customHeight="1">
      <c r="A2013" s="1621" t="str">
        <f>'Pt IX B-Healthy Housg Init Narr'!A5</f>
        <v xml:space="preserve">&lt;&lt;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
Healthy Way will be a healthy housing initiative incorporated into the Grayling Place community.  Beyond answering the demand for affordable housing, Grayling Place will serve as a platform for community change to improve the health and well-being of our residents through education and regular screenings.  By co-locating this initiative at the development, we can literally meet people where they are and work with them to facilitate improved health for themselves and their families.  
• After conducting the 2016 Community Health Needs Assessment (CHNA), Columbus Midtown Medical Center and Columbus Northside Medical Center  identified three main areas of focus, and diabetes is one of those.  The CHNA identifies the following strategies to address this main area of focus: (1) increase participation in Diabetes Prevention Program (DPP), (2) promote DPP to at-risk individuals, (3) support quality enhancement programs, and (4) increase the use of Community Health Workers and Diabetes Educators. 
• In the CHNA, there was discussion of not only the prevalence of diabetes in the community (at rates which disproportionally affected non-Hispanic Blacks), but also the high incidence of those with pre-diabetes or borderline diabetes.  There was also narrative related to the top concerns expressed by those participating in the assessment, and many of these concerns focused on education and making the connection between diet and exercise as preventative strategies.  
• In the Muscogee County data shown on the County Health Rankings and Roadmaps, Muscogee County has an adult obesity rate of 30% (as compared to the Georgia average of 30%).  Additionally, Muscogee County has a diabetes monitoring rate of 78% (as compared to the Georgia average of 85%).  Muscogee County also has numbers that are higher than the state’s average for poor or fair health and poor physical health days.
The Program – Utilizing the data above, Healthy Way will focus on diabetes prevention through a community partnership with Piedmont Columbus Regional and its Mobile Health Unit .  Healthy Way will focus on the following priorities: (1) expand and enhance diabetes awareness and education, (2) increase knowledge related to the impact of diet and exercise on changing health outcomes, and (3) increase diabetes monitoring rates .   
• Glucose Monitoring and Biometric Screenings – A biometric screening provides a clinical assessment of key health measures.  These results may be used to identify health conditions like diabetes, or to indicate an increased risk for the disease.  An important part of a health and wellness program, biometric screenings are used to: (1) identify participants who would benefit from health coaching and education, (2) provide validated data and measure program outcomes over a minimum of five years, and (3) help participants make the right health choices.  Biometric screenings include body measurements such as height, weight, body fat percentage, waist and hip measurements, and blood pressure.  These can serve as measures of obesity and indicators of diabetes risk.  Healthy Way will also focus on monitoring blood glucose levels as indicators of diabetes or pre-diabetes by blood draws through finger sticks.  The convenience of monthly on site visits of the Mobile Health Unit will promote early intervention and referrals as necessary for those individuals who need additional and more intensive medical resources.  
• Education – Through the biometric screenings and diabetes prevention education, we will help residents “know their numbers.”  As the next step, Healthy Way will work to improve participants’ knowledge about what those numbers mean, associated health implications and risks, and how to work on certain behaviors to improve their numbers, manage their diabetes, and/or lower their risk of ever developing diabetes .  In addition to the regular monthly Healthy Way screenings and visits with Piedmont Columbus medical staff, participants will be encouraged to utilize on line (online)* resources such as those available through EmPOWERED to Serve .  The site includes not only health lessons and fitness plans, but also cooking videos and suggestions for engaging children so that fitness can be a family affair.  Furthermore, smart phone apps such as MyFitnessPal can be utilized by participants to track diet and exercise as a way to reach weight or fitness goals
Partner – Piedmont Columbus Regional  will be the provider partner for Healthy Way and will utilize its Mobile Health Unit for monthly visits to the Grayling Place community.  As part of Piedmont Columbus Regional’s commitment to improve the health of their community, the Mobile Unit offers services and health education programs to respond to needs and improve the health of the Chattahoochee Valley area.  The 40-foot vehicle, which serves as a mobile clinic, consists of a waiting area, well-equipped exam rooms, and a lab.  The Unit team consists of a RN (Mobile Unit Coordinator), physicians, and a pharmacist.  Through health screenings, health and wellness education, and resources, the Unit is able to help identify and target health risks.  Early detection of potential and existing medical conditions allows for more effective treatment and supports overall health.   The Mobile Unit will have all necessary equipment for the biometric screenings and glucose tests including a scale, blood pressure cuff, tape measure, and finger stick blood kits.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6sjLM7d/LuTked0KWsW0maJ4CtR8xY+dwI41N5G7kfSTjUXqhHMSuM+Yo2LzA4pk42KvHF+6eBxt0yU/Y/C1yg==" saltValue="orE7R5kOC/DCxXapxlbD9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45" zoomScaleNormal="145" workbookViewId="0">
      <selection activeCell="A5"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89" t="str">
        <f>CONCATENATE("PART TWO - DEVELOPMENT TEAM INFORMATION","  -  ",'Part I-Project Information'!$O$6," ",'Part I-Project Information'!$F$34,", ",'Part I-Project Information'!F38,", ",'Part I-Project Information'!J39," County")</f>
        <v>PART TWO - DEVELOPMENT TEAM INFORMATION  -  2018-021 Grayling Place, Columbus, Muscogee County</v>
      </c>
      <c r="B1" s="2690"/>
      <c r="C1" s="2690"/>
      <c r="D1" s="2690"/>
      <c r="E1" s="2690"/>
      <c r="F1" s="2690"/>
      <c r="G1" s="2690"/>
      <c r="H1" s="2690"/>
      <c r="I1" s="2690"/>
      <c r="J1" s="2690"/>
      <c r="K1" s="2690"/>
      <c r="L1" s="2690"/>
      <c r="M1" s="2690"/>
      <c r="N1" s="2690"/>
      <c r="O1" s="2690"/>
      <c r="P1" s="2690"/>
      <c r="Q1" s="2690"/>
      <c r="R1" s="2690"/>
      <c r="S1" s="2691"/>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530" t="s">
        <v>4642</v>
      </c>
      <c r="I5" s="2692"/>
      <c r="J5" s="2692"/>
      <c r="K5" s="2692"/>
      <c r="L5" s="2692"/>
      <c r="M5" s="2692"/>
      <c r="N5" s="2693"/>
      <c r="O5" s="1557" t="s">
        <v>2006</v>
      </c>
      <c r="P5" s="1557"/>
      <c r="Q5" s="2530" t="s">
        <v>4629</v>
      </c>
      <c r="R5" s="2692"/>
      <c r="S5" s="2693"/>
      <c r="Y5" s="1163"/>
      <c r="Z5" s="1164"/>
      <c r="AA5" s="1566"/>
    </row>
    <row r="6" spans="1:27" s="305" customFormat="1" ht="11.25" customHeight="1">
      <c r="D6" s="348"/>
      <c r="E6" s="310" t="s">
        <v>1031</v>
      </c>
      <c r="F6" s="318"/>
      <c r="H6" s="2530" t="s">
        <v>4638</v>
      </c>
      <c r="I6" s="2692"/>
      <c r="J6" s="2692"/>
      <c r="K6" s="2692"/>
      <c r="L6" s="2692"/>
      <c r="M6" s="2692"/>
      <c r="N6" s="2693"/>
      <c r="O6" s="1557" t="s">
        <v>1760</v>
      </c>
      <c r="Q6" s="2530" t="s">
        <v>4643</v>
      </c>
      <c r="R6" s="2692"/>
      <c r="S6" s="2693"/>
      <c r="V6" s="1163"/>
      <c r="W6" s="1163"/>
      <c r="X6" s="1163"/>
      <c r="Y6" s="1163"/>
      <c r="Z6" s="1164"/>
      <c r="AA6" s="1566"/>
    </row>
    <row r="7" spans="1:27" s="305" customFormat="1" ht="11.25" customHeight="1">
      <c r="D7" s="348"/>
      <c r="E7" s="310" t="s">
        <v>624</v>
      </c>
      <c r="H7" s="2530" t="s">
        <v>1217</v>
      </c>
      <c r="I7" s="2692"/>
      <c r="J7" s="2693"/>
      <c r="K7" s="2375" t="s">
        <v>770</v>
      </c>
      <c r="L7" s="2530" t="s">
        <v>3229</v>
      </c>
      <c r="M7" s="2692"/>
      <c r="N7" s="2693"/>
      <c r="O7" s="1557" t="s">
        <v>1734</v>
      </c>
      <c r="Q7" s="2694">
        <v>6783245550</v>
      </c>
      <c r="R7" s="2695"/>
      <c r="S7" s="2696"/>
    </row>
    <row r="8" spans="1:27" s="305" customFormat="1" ht="11.25" customHeight="1">
      <c r="D8" s="348"/>
      <c r="E8" s="310" t="s">
        <v>1812</v>
      </c>
      <c r="H8" s="2376" t="s">
        <v>856</v>
      </c>
      <c r="I8" s="1559" t="s">
        <v>2246</v>
      </c>
      <c r="J8" s="2698">
        <v>303394002</v>
      </c>
      <c r="K8" s="2693"/>
      <c r="L8" s="305" t="s">
        <v>3715</v>
      </c>
      <c r="M8" s="2699" t="s">
        <v>4623</v>
      </c>
      <c r="N8" s="2700"/>
      <c r="O8" s="1557" t="s">
        <v>1996</v>
      </c>
      <c r="Q8" s="2694">
        <v>7708627333</v>
      </c>
      <c r="R8" s="2695"/>
      <c r="S8" s="2696"/>
    </row>
    <row r="9" spans="1:27" s="305" customFormat="1" ht="11.25" customHeight="1">
      <c r="D9" s="348"/>
      <c r="E9" s="310" t="s">
        <v>4316</v>
      </c>
      <c r="H9" s="2694">
        <v>6783245540</v>
      </c>
      <c r="I9" s="2696"/>
      <c r="J9" s="2377">
        <v>101</v>
      </c>
      <c r="K9" s="1569" t="s">
        <v>2001</v>
      </c>
      <c r="L9" s="2517" t="s">
        <v>4644</v>
      </c>
      <c r="M9" s="2477"/>
      <c r="N9" s="2477"/>
      <c r="O9" s="2477"/>
      <c r="P9" s="2477"/>
      <c r="Q9" s="2477"/>
      <c r="R9" s="2477"/>
      <c r="S9" s="2478"/>
    </row>
    <row r="10" spans="1:27" s="305" customFormat="1" ht="11.25" customHeight="1">
      <c r="D10" s="348"/>
      <c r="E10" s="1417" t="s">
        <v>4315</v>
      </c>
      <c r="H10" s="342"/>
      <c r="K10" s="278"/>
      <c r="N10" s="380" t="s">
        <v>3590</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78" t="s">
        <v>1296</v>
      </c>
      <c r="W12" s="2378"/>
      <c r="X12" s="2378"/>
      <c r="Y12" s="2378"/>
      <c r="Z12" s="2378"/>
    </row>
    <row r="13" spans="1:27" s="305" customFormat="1" ht="11.25" customHeight="1">
      <c r="C13" s="350" t="s">
        <v>2003</v>
      </c>
      <c r="D13" s="347" t="s">
        <v>2004</v>
      </c>
      <c r="H13" s="1566"/>
      <c r="I13" s="1566"/>
      <c r="J13" s="1566"/>
      <c r="N13" s="1165"/>
      <c r="W13" s="2379"/>
      <c r="X13" s="2379"/>
      <c r="Y13" s="2379"/>
      <c r="Z13" s="2379"/>
    </row>
    <row r="14" spans="1:27" s="305" customFormat="1" ht="11.25" customHeight="1">
      <c r="D14" s="307" t="s">
        <v>2133</v>
      </c>
      <c r="E14" s="305" t="s">
        <v>1871</v>
      </c>
      <c r="H14" s="2684" t="s">
        <v>4641</v>
      </c>
      <c r="I14" s="2685"/>
      <c r="J14" s="2685"/>
      <c r="K14" s="2685"/>
      <c r="L14" s="2685"/>
      <c r="M14" s="2685"/>
      <c r="N14" s="2512"/>
      <c r="O14" s="1557" t="s">
        <v>2006</v>
      </c>
      <c r="P14" s="1557"/>
      <c r="Q14" s="2684" t="s">
        <v>4629</v>
      </c>
      <c r="R14" s="2685"/>
      <c r="S14" s="2512"/>
    </row>
    <row r="15" spans="1:27" s="305" customFormat="1" ht="11.25" customHeight="1">
      <c r="D15" s="348"/>
      <c r="E15" s="310" t="s">
        <v>1031</v>
      </c>
      <c r="F15" s="318"/>
      <c r="H15" s="2684" t="s">
        <v>4638</v>
      </c>
      <c r="I15" s="2685"/>
      <c r="J15" s="2685"/>
      <c r="K15" s="2685"/>
      <c r="L15" s="2685"/>
      <c r="M15" s="2685"/>
      <c r="N15" s="2512"/>
      <c r="O15" s="1557" t="s">
        <v>1760</v>
      </c>
      <c r="Q15" s="2684" t="s">
        <v>4630</v>
      </c>
      <c r="R15" s="2685"/>
      <c r="S15" s="2512"/>
    </row>
    <row r="16" spans="1:27" s="305" customFormat="1" ht="11.25" customHeight="1">
      <c r="D16" s="348"/>
      <c r="E16" s="310" t="s">
        <v>624</v>
      </c>
      <c r="H16" s="2684" t="s">
        <v>1217</v>
      </c>
      <c r="I16" s="2685"/>
      <c r="J16" s="2512"/>
      <c r="K16" s="1558" t="s">
        <v>2724</v>
      </c>
      <c r="L16" s="2684" t="s">
        <v>4645</v>
      </c>
      <c r="M16" s="2685"/>
      <c r="N16" s="2512"/>
      <c r="O16" s="1557" t="s">
        <v>1734</v>
      </c>
      <c r="Q16" s="2682">
        <v>6783245550</v>
      </c>
      <c r="R16" s="2686"/>
      <c r="S16" s="2683"/>
    </row>
    <row r="17" spans="3:19" s="305" customFormat="1" ht="11.25" customHeight="1">
      <c r="D17" s="307"/>
      <c r="E17" s="310" t="s">
        <v>1812</v>
      </c>
      <c r="H17" s="2380" t="s">
        <v>856</v>
      </c>
      <c r="K17" s="1559" t="s">
        <v>2246</v>
      </c>
      <c r="L17" s="2687">
        <v>303394002</v>
      </c>
      <c r="M17" s="2688"/>
      <c r="O17" s="1557" t="s">
        <v>1996</v>
      </c>
      <c r="Q17" s="2682">
        <v>7708627333</v>
      </c>
      <c r="R17" s="2686"/>
      <c r="S17" s="2683"/>
    </row>
    <row r="18" spans="3:19" s="305" customFormat="1" ht="11.25" customHeight="1">
      <c r="D18" s="348"/>
      <c r="E18" s="310" t="s">
        <v>4316</v>
      </c>
      <c r="H18" s="2682">
        <v>6783245540</v>
      </c>
      <c r="I18" s="2683"/>
      <c r="J18" s="2381">
        <v>101</v>
      </c>
      <c r="K18" s="1569" t="s">
        <v>2001</v>
      </c>
      <c r="L18" s="2517" t="s">
        <v>4644</v>
      </c>
      <c r="M18" s="2477"/>
      <c r="N18" s="2477"/>
      <c r="O18" s="2477"/>
      <c r="P18" s="2477"/>
      <c r="Q18" s="2477"/>
      <c r="R18" s="2477"/>
      <c r="S18" s="2478"/>
    </row>
    <row r="19" spans="3:19" ht="4.1500000000000004" customHeight="1">
      <c r="D19" s="333"/>
      <c r="H19" s="2382"/>
      <c r="I19" s="2382"/>
      <c r="J19" s="2382"/>
      <c r="K19" s="1569"/>
      <c r="L19" s="2382"/>
      <c r="M19" s="2382"/>
      <c r="N19" s="1563"/>
      <c r="O19" s="1613"/>
      <c r="P19" s="1613"/>
      <c r="Q19" s="1569"/>
      <c r="R19" s="1613"/>
      <c r="S19" s="1613"/>
    </row>
    <row r="20" spans="3:19" s="305" customFormat="1" ht="11.25" customHeight="1">
      <c r="D20" s="307" t="s">
        <v>2134</v>
      </c>
      <c r="E20" s="305" t="s">
        <v>1872</v>
      </c>
      <c r="F20" s="1566"/>
      <c r="H20" s="2684"/>
      <c r="I20" s="2685"/>
      <c r="J20" s="2685"/>
      <c r="K20" s="2685"/>
      <c r="L20" s="2685"/>
      <c r="M20" s="2685"/>
      <c r="N20" s="2512"/>
      <c r="O20" s="1557" t="s">
        <v>2006</v>
      </c>
      <c r="P20" s="1557"/>
      <c r="Q20" s="2684"/>
      <c r="R20" s="2685"/>
      <c r="S20" s="2512"/>
    </row>
    <row r="21" spans="3:19" s="305" customFormat="1" ht="11.25" customHeight="1">
      <c r="D21" s="348"/>
      <c r="E21" s="310" t="s">
        <v>1031</v>
      </c>
      <c r="F21" s="318"/>
      <c r="H21" s="2684"/>
      <c r="I21" s="2685"/>
      <c r="J21" s="2685"/>
      <c r="K21" s="2685"/>
      <c r="L21" s="2685"/>
      <c r="M21" s="2685"/>
      <c r="N21" s="2512"/>
      <c r="O21" s="1557" t="s">
        <v>1760</v>
      </c>
      <c r="Q21" s="2684"/>
      <c r="R21" s="2685"/>
      <c r="S21" s="2512"/>
    </row>
    <row r="22" spans="3:19" s="305" customFormat="1" ht="11.25" customHeight="1">
      <c r="D22" s="348"/>
      <c r="E22" s="310" t="s">
        <v>624</v>
      </c>
      <c r="H22" s="2684"/>
      <c r="I22" s="2685"/>
      <c r="J22" s="2512"/>
      <c r="K22" s="1558" t="s">
        <v>2724</v>
      </c>
      <c r="L22" s="2684"/>
      <c r="M22" s="2685"/>
      <c r="N22" s="2512"/>
      <c r="O22" s="1557" t="s">
        <v>1734</v>
      </c>
      <c r="Q22" s="2682"/>
      <c r="R22" s="2686"/>
      <c r="S22" s="2683"/>
    </row>
    <row r="23" spans="3:19" s="305" customFormat="1" ht="11.25" customHeight="1">
      <c r="E23" s="310" t="s">
        <v>1812</v>
      </c>
      <c r="H23" s="2380"/>
      <c r="K23" s="1559" t="s">
        <v>2246</v>
      </c>
      <c r="L23" s="2687"/>
      <c r="M23" s="2688"/>
      <c r="O23" s="1557" t="s">
        <v>1996</v>
      </c>
      <c r="Q23" s="2682"/>
      <c r="R23" s="2686"/>
      <c r="S23" s="2683"/>
    </row>
    <row r="24" spans="3:19" s="305" customFormat="1" ht="11.25" customHeight="1">
      <c r="D24" s="348"/>
      <c r="E24" s="310" t="s">
        <v>4316</v>
      </c>
      <c r="H24" s="2682"/>
      <c r="I24" s="2683"/>
      <c r="J24" s="2381"/>
      <c r="K24" s="1569" t="s">
        <v>2001</v>
      </c>
      <c r="L24" s="2517"/>
      <c r="M24" s="2477"/>
      <c r="N24" s="2477"/>
      <c r="O24" s="2477"/>
      <c r="P24" s="2477"/>
      <c r="Q24" s="2477"/>
      <c r="R24" s="2477"/>
      <c r="S24" s="2478"/>
    </row>
    <row r="25" spans="3:19" s="305" customFormat="1" ht="4.1500000000000004" customHeight="1">
      <c r="D25" s="348"/>
      <c r="E25" s="1566"/>
      <c r="F25" s="1566"/>
      <c r="G25" s="1557"/>
      <c r="H25" s="2382"/>
      <c r="I25" s="2382"/>
      <c r="J25" s="2382"/>
      <c r="K25" s="1569"/>
      <c r="L25" s="2382"/>
      <c r="M25" s="2382"/>
      <c r="N25" s="1563"/>
      <c r="O25" s="1613"/>
      <c r="P25" s="1613"/>
      <c r="Q25" s="1569"/>
      <c r="R25" s="1613"/>
      <c r="S25" s="1613"/>
    </row>
    <row r="26" spans="3:19" s="305" customFormat="1" ht="11.25" customHeight="1">
      <c r="D26" s="307" t="s">
        <v>1747</v>
      </c>
      <c r="E26" s="305" t="s">
        <v>1872</v>
      </c>
      <c r="F26" s="1566"/>
      <c r="H26" s="2684"/>
      <c r="I26" s="2685"/>
      <c r="J26" s="2685"/>
      <c r="K26" s="2685"/>
      <c r="L26" s="2685"/>
      <c r="M26" s="2685"/>
      <c r="N26" s="2512"/>
      <c r="O26" s="1557" t="s">
        <v>2006</v>
      </c>
      <c r="P26" s="1557"/>
      <c r="Q26" s="2684"/>
      <c r="R26" s="2685"/>
      <c r="S26" s="2512"/>
    </row>
    <row r="27" spans="3:19" s="305" customFormat="1" ht="11.25" customHeight="1">
      <c r="D27" s="348"/>
      <c r="E27" s="310" t="s">
        <v>1031</v>
      </c>
      <c r="F27" s="318"/>
      <c r="H27" s="2684"/>
      <c r="I27" s="2685"/>
      <c r="J27" s="2685"/>
      <c r="K27" s="2685"/>
      <c r="L27" s="2685"/>
      <c r="M27" s="2685"/>
      <c r="N27" s="2512"/>
      <c r="O27" s="1557" t="s">
        <v>1760</v>
      </c>
      <c r="Q27" s="2684"/>
      <c r="R27" s="2685"/>
      <c r="S27" s="2512"/>
    </row>
    <row r="28" spans="3:19" s="305" customFormat="1" ht="11.25" customHeight="1">
      <c r="D28" s="348"/>
      <c r="E28" s="310" t="s">
        <v>624</v>
      </c>
      <c r="H28" s="2684"/>
      <c r="I28" s="2685"/>
      <c r="J28" s="2512"/>
      <c r="K28" s="1558" t="s">
        <v>2724</v>
      </c>
      <c r="L28" s="2684"/>
      <c r="M28" s="2685"/>
      <c r="N28" s="2512"/>
      <c r="O28" s="1557" t="s">
        <v>1734</v>
      </c>
      <c r="Q28" s="2682"/>
      <c r="R28" s="2686"/>
      <c r="S28" s="2683"/>
    </row>
    <row r="29" spans="3:19" s="305" customFormat="1" ht="11.25" customHeight="1">
      <c r="E29" s="310" t="s">
        <v>1812</v>
      </c>
      <c r="H29" s="2380"/>
      <c r="K29" s="1559" t="s">
        <v>2246</v>
      </c>
      <c r="L29" s="2687"/>
      <c r="M29" s="2688"/>
      <c r="O29" s="1557" t="s">
        <v>1996</v>
      </c>
      <c r="Q29" s="2682"/>
      <c r="R29" s="2686"/>
      <c r="S29" s="2683"/>
    </row>
    <row r="30" spans="3:19" s="305" customFormat="1" ht="11.25" customHeight="1">
      <c r="D30" s="348"/>
      <c r="E30" s="310" t="s">
        <v>4316</v>
      </c>
      <c r="H30" s="2682"/>
      <c r="I30" s="2683"/>
      <c r="J30" s="2381"/>
      <c r="K30" s="1569" t="s">
        <v>2001</v>
      </c>
      <c r="L30" s="2517"/>
      <c r="M30" s="2477"/>
      <c r="N30" s="2477"/>
      <c r="O30" s="2477"/>
      <c r="P30" s="2477"/>
      <c r="Q30" s="2477"/>
      <c r="R30" s="2477"/>
      <c r="S30" s="2478"/>
    </row>
    <row r="31" spans="3:19" ht="4.1500000000000004" customHeight="1"/>
    <row r="32" spans="3:19" s="305" customFormat="1" ht="11.25" customHeight="1">
      <c r="C32" s="350" t="s">
        <v>2005</v>
      </c>
      <c r="D32" s="347" t="s">
        <v>1874</v>
      </c>
      <c r="H32" s="1566"/>
      <c r="I32" s="1566"/>
      <c r="J32" s="1566"/>
      <c r="K32" s="1417" t="s">
        <v>4315</v>
      </c>
      <c r="L32" s="1566"/>
      <c r="M32" s="1566"/>
    </row>
    <row r="33" spans="3:19" s="305" customFormat="1" ht="11.25" customHeight="1">
      <c r="D33" s="307" t="s">
        <v>2133</v>
      </c>
      <c r="E33" s="305" t="s">
        <v>758</v>
      </c>
      <c r="H33" s="2684" t="s">
        <v>4639</v>
      </c>
      <c r="I33" s="2685"/>
      <c r="J33" s="2685"/>
      <c r="K33" s="2685"/>
      <c r="L33" s="2685"/>
      <c r="M33" s="2685"/>
      <c r="N33" s="2512"/>
      <c r="O33" s="1557" t="s">
        <v>2006</v>
      </c>
      <c r="P33" s="1557"/>
      <c r="Q33" s="2684" t="s">
        <v>4647</v>
      </c>
      <c r="R33" s="2685"/>
      <c r="S33" s="2512"/>
    </row>
    <row r="34" spans="3:19" s="305" customFormat="1" ht="11.25" customHeight="1">
      <c r="D34" s="348"/>
      <c r="E34" s="310" t="s">
        <v>1031</v>
      </c>
      <c r="F34" s="318"/>
      <c r="H34" s="2684" t="s">
        <v>4640</v>
      </c>
      <c r="I34" s="2685"/>
      <c r="J34" s="2685"/>
      <c r="K34" s="2685"/>
      <c r="L34" s="2685"/>
      <c r="M34" s="2685"/>
      <c r="N34" s="2512"/>
      <c r="O34" s="1557" t="s">
        <v>1760</v>
      </c>
      <c r="Q34" s="2684" t="s">
        <v>4625</v>
      </c>
      <c r="R34" s="2685"/>
      <c r="S34" s="2512"/>
    </row>
    <row r="35" spans="3:19" s="305" customFormat="1" ht="11.25" customHeight="1">
      <c r="D35" s="348"/>
      <c r="E35" s="310" t="s">
        <v>624</v>
      </c>
      <c r="H35" s="2684" t="s">
        <v>4648</v>
      </c>
      <c r="I35" s="2685"/>
      <c r="J35" s="2512"/>
      <c r="K35" s="1558" t="s">
        <v>2724</v>
      </c>
      <c r="L35" s="2684" t="s">
        <v>4646</v>
      </c>
      <c r="M35" s="2685"/>
      <c r="N35" s="2512"/>
      <c r="O35" s="1557" t="s">
        <v>1734</v>
      </c>
      <c r="Q35" s="2682">
        <v>2052644017</v>
      </c>
      <c r="R35" s="2686"/>
      <c r="S35" s="2683"/>
    </row>
    <row r="36" spans="3:19" s="305" customFormat="1" ht="11.25" customHeight="1">
      <c r="E36" s="310" t="s">
        <v>1812</v>
      </c>
      <c r="H36" s="2380" t="s">
        <v>846</v>
      </c>
      <c r="K36" s="1559" t="s">
        <v>2246</v>
      </c>
      <c r="L36" s="2687">
        <v>352032609</v>
      </c>
      <c r="M36" s="2688"/>
      <c r="O36" s="1557" t="s">
        <v>1996</v>
      </c>
      <c r="Q36" s="2682">
        <v>2053063451</v>
      </c>
      <c r="R36" s="2686"/>
      <c r="S36" s="2683"/>
    </row>
    <row r="37" spans="3:19" s="305" customFormat="1" ht="11.25" customHeight="1">
      <c r="D37" s="348"/>
      <c r="E37" s="310" t="s">
        <v>4316</v>
      </c>
      <c r="H37" s="2682">
        <v>2052644017</v>
      </c>
      <c r="I37" s="2683"/>
      <c r="J37" s="2381"/>
      <c r="K37" s="1569" t="s">
        <v>2001</v>
      </c>
      <c r="L37" s="2517" t="s">
        <v>4649</v>
      </c>
      <c r="M37" s="2477"/>
      <c r="N37" s="2477"/>
      <c r="O37" s="2477"/>
      <c r="P37" s="2477"/>
      <c r="Q37" s="2477"/>
      <c r="R37" s="2477"/>
      <c r="S37" s="2478"/>
    </row>
    <row r="38" spans="3:19" ht="4.1500000000000004" customHeight="1">
      <c r="H38" s="2382"/>
      <c r="I38" s="2382"/>
      <c r="J38" s="2382"/>
      <c r="K38" s="1569"/>
      <c r="L38" s="2382"/>
      <c r="M38" s="2382"/>
      <c r="N38" s="1563"/>
      <c r="O38" s="1613"/>
      <c r="P38" s="1613"/>
      <c r="Q38" s="1569"/>
      <c r="R38" s="1613"/>
      <c r="S38" s="1613"/>
    </row>
    <row r="39" spans="3:19" s="305" customFormat="1" ht="11.25" customHeight="1">
      <c r="D39" s="307" t="s">
        <v>2134</v>
      </c>
      <c r="E39" s="305" t="s">
        <v>759</v>
      </c>
      <c r="F39" s="307"/>
      <c r="H39" s="2684" t="s">
        <v>4711</v>
      </c>
      <c r="I39" s="2685"/>
      <c r="J39" s="2685"/>
      <c r="K39" s="2685"/>
      <c r="L39" s="2685"/>
      <c r="M39" s="2685"/>
      <c r="N39" s="2512"/>
      <c r="O39" s="1557" t="s">
        <v>2006</v>
      </c>
      <c r="P39" s="1557"/>
      <c r="Q39" s="2684" t="s">
        <v>4629</v>
      </c>
      <c r="R39" s="2685"/>
      <c r="S39" s="2512"/>
    </row>
    <row r="40" spans="3:19" s="305" customFormat="1" ht="11.25" customHeight="1">
      <c r="D40" s="348"/>
      <c r="E40" s="310" t="s">
        <v>1031</v>
      </c>
      <c r="F40" s="318"/>
      <c r="H40" s="2684" t="s">
        <v>4638</v>
      </c>
      <c r="I40" s="2685"/>
      <c r="J40" s="2685"/>
      <c r="K40" s="2685"/>
      <c r="L40" s="2685"/>
      <c r="M40" s="2685"/>
      <c r="N40" s="2512"/>
      <c r="O40" s="1557" t="s">
        <v>1760</v>
      </c>
      <c r="Q40" s="2684" t="s">
        <v>4630</v>
      </c>
      <c r="R40" s="2685"/>
      <c r="S40" s="2512"/>
    </row>
    <row r="41" spans="3:19" s="305" customFormat="1" ht="11.25" customHeight="1">
      <c r="D41" s="348"/>
      <c r="E41" s="310" t="s">
        <v>624</v>
      </c>
      <c r="H41" s="2684" t="s">
        <v>1217</v>
      </c>
      <c r="I41" s="2685"/>
      <c r="J41" s="2512"/>
      <c r="K41" s="1558" t="s">
        <v>2724</v>
      </c>
      <c r="L41" s="2684" t="s">
        <v>4645</v>
      </c>
      <c r="M41" s="2685"/>
      <c r="N41" s="2512"/>
      <c r="O41" s="1557" t="s">
        <v>1734</v>
      </c>
      <c r="Q41" s="2682">
        <v>6783245550</v>
      </c>
      <c r="R41" s="2686"/>
      <c r="S41" s="2683"/>
    </row>
    <row r="42" spans="3:19" s="305" customFormat="1" ht="11.25" customHeight="1">
      <c r="D42" s="307"/>
      <c r="E42" s="310" t="s">
        <v>1812</v>
      </c>
      <c r="H42" s="2380" t="s">
        <v>856</v>
      </c>
      <c r="K42" s="1559" t="s">
        <v>2246</v>
      </c>
      <c r="L42" s="2687">
        <v>303394002</v>
      </c>
      <c r="M42" s="2688"/>
      <c r="O42" s="1557" t="s">
        <v>1996</v>
      </c>
      <c r="Q42" s="2682">
        <v>7708627333</v>
      </c>
      <c r="R42" s="2686"/>
      <c r="S42" s="2683"/>
    </row>
    <row r="43" spans="3:19" s="305" customFormat="1" ht="11.25" customHeight="1">
      <c r="D43" s="348"/>
      <c r="E43" s="310" t="s">
        <v>4316</v>
      </c>
      <c r="H43" s="2682">
        <v>6783245540</v>
      </c>
      <c r="I43" s="2683"/>
      <c r="J43" s="2381">
        <v>101</v>
      </c>
      <c r="K43" s="1569" t="s">
        <v>2001</v>
      </c>
      <c r="L43" s="2517" t="s">
        <v>4644</v>
      </c>
      <c r="M43" s="2477"/>
      <c r="N43" s="2477"/>
      <c r="O43" s="2477"/>
      <c r="P43" s="2477"/>
      <c r="Q43" s="2477"/>
      <c r="R43" s="2477"/>
      <c r="S43" s="2478"/>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2552</v>
      </c>
      <c r="D45" s="347" t="s">
        <v>657</v>
      </c>
      <c r="H45" s="1566"/>
      <c r="I45" s="1566"/>
      <c r="J45" s="1566"/>
      <c r="K45" s="1417" t="s">
        <v>4315</v>
      </c>
      <c r="L45" s="1566"/>
      <c r="M45" s="1566"/>
    </row>
    <row r="46" spans="3:19" s="305" customFormat="1" ht="11.25" customHeight="1">
      <c r="E46" s="305" t="s">
        <v>93</v>
      </c>
      <c r="H46" s="2684"/>
      <c r="I46" s="2685"/>
      <c r="J46" s="2685"/>
      <c r="K46" s="2685"/>
      <c r="L46" s="2685"/>
      <c r="M46" s="2685"/>
      <c r="N46" s="2512"/>
      <c r="O46" s="1557" t="s">
        <v>2006</v>
      </c>
      <c r="P46" s="1557"/>
      <c r="Q46" s="2684"/>
      <c r="R46" s="2685"/>
      <c r="S46" s="2512"/>
    </row>
    <row r="47" spans="3:19" s="305" customFormat="1" ht="11.25" customHeight="1">
      <c r="D47" s="348"/>
      <c r="E47" s="310" t="s">
        <v>1031</v>
      </c>
      <c r="F47" s="318"/>
      <c r="H47" s="2684"/>
      <c r="I47" s="2685"/>
      <c r="J47" s="2685"/>
      <c r="K47" s="2685"/>
      <c r="L47" s="2685"/>
      <c r="M47" s="2685"/>
      <c r="N47" s="2512"/>
      <c r="O47" s="1557" t="s">
        <v>1760</v>
      </c>
      <c r="Q47" s="2684"/>
      <c r="R47" s="2685"/>
      <c r="S47" s="2512"/>
    </row>
    <row r="48" spans="3:19" s="305" customFormat="1" ht="11.25" customHeight="1">
      <c r="D48" s="348"/>
      <c r="E48" s="310" t="s">
        <v>624</v>
      </c>
      <c r="H48" s="2684"/>
      <c r="I48" s="2685"/>
      <c r="J48" s="2512"/>
      <c r="K48" s="1558" t="s">
        <v>2724</v>
      </c>
      <c r="L48" s="2684"/>
      <c r="M48" s="2685"/>
      <c r="N48" s="2512"/>
      <c r="O48" s="1557" t="s">
        <v>1734</v>
      </c>
      <c r="Q48" s="2682"/>
      <c r="R48" s="2686"/>
      <c r="S48" s="2683"/>
    </row>
    <row r="49" spans="1:19" s="305" customFormat="1" ht="11.25" customHeight="1">
      <c r="E49" s="310" t="s">
        <v>1812</v>
      </c>
      <c r="H49" s="2380"/>
      <c r="K49" s="1559" t="s">
        <v>2246</v>
      </c>
      <c r="L49" s="2687"/>
      <c r="M49" s="2688"/>
      <c r="O49" s="1557" t="s">
        <v>1996</v>
      </c>
      <c r="Q49" s="2682"/>
      <c r="R49" s="2686"/>
      <c r="S49" s="2683"/>
    </row>
    <row r="50" spans="1:19" s="305" customFormat="1" ht="11.25" customHeight="1">
      <c r="D50" s="348"/>
      <c r="E50" s="310" t="s">
        <v>4316</v>
      </c>
      <c r="H50" s="2682"/>
      <c r="I50" s="2683"/>
      <c r="J50" s="2381"/>
      <c r="K50" s="1569" t="s">
        <v>2001</v>
      </c>
      <c r="L50" s="2517"/>
      <c r="M50" s="2477"/>
      <c r="N50" s="2477"/>
      <c r="O50" s="2477"/>
      <c r="P50" s="2477"/>
      <c r="Q50" s="2477"/>
      <c r="R50" s="2477"/>
      <c r="S50" s="2478"/>
    </row>
    <row r="51" spans="1:19" ht="6.75" customHeight="1"/>
    <row r="52" spans="1:19" s="305" customFormat="1" ht="13.15" customHeight="1">
      <c r="A52" s="307" t="s">
        <v>748</v>
      </c>
      <c r="B52" s="307" t="s">
        <v>658</v>
      </c>
      <c r="F52" s="307"/>
      <c r="G52" s="1569"/>
      <c r="H52" s="1569"/>
      <c r="I52" s="1569"/>
      <c r="J52" s="1566"/>
      <c r="K52" s="1417" t="s">
        <v>4315</v>
      </c>
      <c r="L52" s="1566"/>
      <c r="M52" s="1566"/>
      <c r="N52" s="1566"/>
      <c r="O52" s="1566"/>
      <c r="P52" s="1566"/>
      <c r="Q52" s="1566"/>
      <c r="R52" s="1566"/>
      <c r="S52" s="1566"/>
    </row>
    <row r="53" spans="1:19" s="305" customFormat="1" ht="3" customHeight="1">
      <c r="A53" s="307"/>
      <c r="B53" s="307"/>
      <c r="F53" s="307"/>
      <c r="G53" s="1569"/>
      <c r="H53" s="2383"/>
      <c r="I53" s="2383"/>
      <c r="J53" s="2383"/>
      <c r="K53" s="1563"/>
      <c r="L53" s="2383"/>
      <c r="M53" s="2383"/>
      <c r="N53" s="1563"/>
      <c r="O53" s="1613"/>
      <c r="P53" s="1613"/>
      <c r="Q53" s="1569"/>
      <c r="R53" s="1613"/>
      <c r="S53" s="1613"/>
    </row>
    <row r="54" spans="1:19" s="305" customFormat="1" ht="11.25" customHeight="1">
      <c r="B54" s="307" t="s">
        <v>2000</v>
      </c>
      <c r="C54" s="307" t="s">
        <v>284</v>
      </c>
      <c r="H54" s="2684" t="s">
        <v>4728</v>
      </c>
      <c r="I54" s="2685"/>
      <c r="J54" s="2685"/>
      <c r="K54" s="2685"/>
      <c r="L54" s="2685"/>
      <c r="M54" s="2685"/>
      <c r="N54" s="2512"/>
      <c r="O54" s="1557" t="s">
        <v>2006</v>
      </c>
      <c r="P54" s="1557"/>
      <c r="Q54" s="2684" t="s">
        <v>4629</v>
      </c>
      <c r="R54" s="2685"/>
      <c r="S54" s="2512"/>
    </row>
    <row r="55" spans="1:19" s="305" customFormat="1" ht="11.25" customHeight="1">
      <c r="D55" s="348"/>
      <c r="E55" s="310" t="s">
        <v>1031</v>
      </c>
      <c r="F55" s="318"/>
      <c r="H55" s="2684" t="s">
        <v>4638</v>
      </c>
      <c r="I55" s="2685"/>
      <c r="J55" s="2685"/>
      <c r="K55" s="2685"/>
      <c r="L55" s="2685"/>
      <c r="M55" s="2685"/>
      <c r="N55" s="2512"/>
      <c r="O55" s="1557" t="s">
        <v>1760</v>
      </c>
      <c r="Q55" s="2684" t="s">
        <v>4631</v>
      </c>
      <c r="R55" s="2685"/>
      <c r="S55" s="2512"/>
    </row>
    <row r="56" spans="1:19" s="305" customFormat="1" ht="11.25" customHeight="1">
      <c r="D56" s="348"/>
      <c r="E56" s="310" t="s">
        <v>624</v>
      </c>
      <c r="H56" s="2684" t="s">
        <v>1217</v>
      </c>
      <c r="I56" s="2685"/>
      <c r="J56" s="2512"/>
      <c r="K56" s="1558" t="s">
        <v>2724</v>
      </c>
      <c r="L56" s="2684" t="s">
        <v>4645</v>
      </c>
      <c r="M56" s="2685"/>
      <c r="N56" s="2512"/>
      <c r="O56" s="1557" t="s">
        <v>1734</v>
      </c>
      <c r="Q56" s="2682">
        <v>6783245550</v>
      </c>
      <c r="R56" s="2686"/>
      <c r="S56" s="2683"/>
    </row>
    <row r="57" spans="1:19" s="305" customFormat="1" ht="11.25" customHeight="1">
      <c r="E57" s="310" t="s">
        <v>1812</v>
      </c>
      <c r="H57" s="2380" t="s">
        <v>856</v>
      </c>
      <c r="K57" s="1559" t="s">
        <v>2246</v>
      </c>
      <c r="L57" s="2687">
        <v>303394002</v>
      </c>
      <c r="M57" s="2688"/>
      <c r="O57" s="1557" t="s">
        <v>1996</v>
      </c>
      <c r="Q57" s="2682">
        <v>7708627333</v>
      </c>
      <c r="R57" s="2686"/>
      <c r="S57" s="2683"/>
    </row>
    <row r="58" spans="1:19" s="305" customFormat="1" ht="11.25" customHeight="1">
      <c r="D58" s="348"/>
      <c r="E58" s="310" t="s">
        <v>4316</v>
      </c>
      <c r="H58" s="2682">
        <v>6783245540</v>
      </c>
      <c r="I58" s="2683"/>
      <c r="J58" s="2381">
        <v>101</v>
      </c>
      <c r="K58" s="1569" t="s">
        <v>2001</v>
      </c>
      <c r="L58" s="2517" t="s">
        <v>4644</v>
      </c>
      <c r="M58" s="2477"/>
      <c r="N58" s="2477"/>
      <c r="O58" s="2477"/>
      <c r="P58" s="2477"/>
      <c r="Q58" s="2477"/>
      <c r="R58" s="2477"/>
      <c r="S58" s="2478"/>
    </row>
    <row r="59" spans="1:19" s="305" customFormat="1" ht="6.6" customHeight="1">
      <c r="D59" s="348"/>
      <c r="E59" s="1566"/>
      <c r="F59" s="1566"/>
      <c r="G59" s="1557"/>
      <c r="H59" s="2382"/>
      <c r="I59" s="2382"/>
      <c r="J59" s="2382"/>
      <c r="K59" s="1569"/>
      <c r="L59" s="2382"/>
      <c r="M59" s="2382"/>
      <c r="N59" s="1563"/>
      <c r="O59" s="1613"/>
      <c r="P59" s="1613"/>
      <c r="Q59" s="1569"/>
      <c r="R59" s="1613"/>
      <c r="S59" s="1613"/>
    </row>
    <row r="60" spans="1:19" s="305" customFormat="1" ht="11.25" customHeight="1">
      <c r="B60" s="307" t="s">
        <v>2002</v>
      </c>
      <c r="C60" s="307" t="s">
        <v>285</v>
      </c>
      <c r="H60" s="2684"/>
      <c r="I60" s="2685"/>
      <c r="J60" s="2685"/>
      <c r="K60" s="2685"/>
      <c r="L60" s="2685"/>
      <c r="M60" s="2685"/>
      <c r="N60" s="2512"/>
      <c r="O60" s="1557" t="s">
        <v>2006</v>
      </c>
      <c r="P60" s="1557"/>
      <c r="Q60" s="2684"/>
      <c r="R60" s="2685"/>
      <c r="S60" s="2512"/>
    </row>
    <row r="61" spans="1:19" s="305" customFormat="1" ht="11.25" customHeight="1">
      <c r="D61" s="348"/>
      <c r="E61" s="310" t="s">
        <v>1031</v>
      </c>
      <c r="F61" s="318"/>
      <c r="H61" s="2684"/>
      <c r="I61" s="2685"/>
      <c r="J61" s="2685"/>
      <c r="K61" s="2685"/>
      <c r="L61" s="2685"/>
      <c r="M61" s="2685"/>
      <c r="N61" s="2512"/>
      <c r="O61" s="1557" t="s">
        <v>1760</v>
      </c>
      <c r="Q61" s="2684"/>
      <c r="R61" s="2685"/>
      <c r="S61" s="2512"/>
    </row>
    <row r="62" spans="1:19" s="305" customFormat="1" ht="11.25" customHeight="1">
      <c r="D62" s="348"/>
      <c r="E62" s="310" t="s">
        <v>624</v>
      </c>
      <c r="H62" s="2684"/>
      <c r="I62" s="2685"/>
      <c r="J62" s="2512"/>
      <c r="K62" s="1558" t="s">
        <v>2724</v>
      </c>
      <c r="L62" s="2684"/>
      <c r="M62" s="2685"/>
      <c r="N62" s="2512"/>
      <c r="O62" s="1557" t="s">
        <v>1734</v>
      </c>
      <c r="Q62" s="2682"/>
      <c r="R62" s="2686"/>
      <c r="S62" s="2683"/>
    </row>
    <row r="63" spans="1:19" s="305" customFormat="1" ht="11.25" customHeight="1">
      <c r="E63" s="310" t="s">
        <v>1812</v>
      </c>
      <c r="H63" s="2380"/>
      <c r="K63" s="1559" t="s">
        <v>2246</v>
      </c>
      <c r="L63" s="2687"/>
      <c r="M63" s="2688"/>
      <c r="O63" s="1557" t="s">
        <v>1996</v>
      </c>
      <c r="Q63" s="2682"/>
      <c r="R63" s="2686"/>
      <c r="S63" s="2683"/>
    </row>
    <row r="64" spans="1:19" s="305" customFormat="1" ht="11.25" customHeight="1">
      <c r="D64" s="348"/>
      <c r="E64" s="310" t="s">
        <v>4316</v>
      </c>
      <c r="H64" s="2682"/>
      <c r="I64" s="2683"/>
      <c r="J64" s="2381"/>
      <c r="K64" s="1569" t="s">
        <v>2001</v>
      </c>
      <c r="L64" s="2517"/>
      <c r="M64" s="2477"/>
      <c r="N64" s="2477"/>
      <c r="O64" s="2477"/>
      <c r="P64" s="2477"/>
      <c r="Q64" s="2477"/>
      <c r="R64" s="2477"/>
      <c r="S64" s="2478"/>
    </row>
    <row r="65" spans="1:19" s="305" customFormat="1" ht="6.6" customHeight="1">
      <c r="D65" s="348"/>
      <c r="E65" s="1566"/>
      <c r="F65" s="1566"/>
      <c r="G65" s="1557"/>
      <c r="H65" s="2382"/>
      <c r="I65" s="2382"/>
      <c r="J65" s="2382"/>
      <c r="K65" s="1569"/>
      <c r="L65" s="2382"/>
      <c r="M65" s="2382"/>
      <c r="N65" s="1563"/>
      <c r="O65" s="1613"/>
      <c r="P65" s="1613"/>
      <c r="Q65" s="1569"/>
      <c r="R65" s="1613"/>
      <c r="S65" s="1613"/>
    </row>
    <row r="66" spans="1:19" s="305" customFormat="1" ht="11.25" customHeight="1">
      <c r="B66" s="307" t="s">
        <v>757</v>
      </c>
      <c r="C66" s="307" t="s">
        <v>1540</v>
      </c>
      <c r="H66" s="2684"/>
      <c r="I66" s="2685"/>
      <c r="J66" s="2685"/>
      <c r="K66" s="2685"/>
      <c r="L66" s="2685"/>
      <c r="M66" s="2685"/>
      <c r="N66" s="2512"/>
      <c r="O66" s="1557" t="s">
        <v>2006</v>
      </c>
      <c r="P66" s="1557"/>
      <c r="Q66" s="2684"/>
      <c r="R66" s="2685"/>
      <c r="S66" s="2512"/>
    </row>
    <row r="67" spans="1:19" s="305" customFormat="1" ht="11.25" customHeight="1">
      <c r="D67" s="348"/>
      <c r="E67" s="310" t="s">
        <v>1031</v>
      </c>
      <c r="F67" s="318"/>
      <c r="H67" s="2684"/>
      <c r="I67" s="2685"/>
      <c r="J67" s="2685"/>
      <c r="K67" s="2685"/>
      <c r="L67" s="2685"/>
      <c r="M67" s="2685"/>
      <c r="N67" s="2512"/>
      <c r="O67" s="1557" t="s">
        <v>1760</v>
      </c>
      <c r="Q67" s="2684"/>
      <c r="R67" s="2685"/>
      <c r="S67" s="2512"/>
    </row>
    <row r="68" spans="1:19" s="305" customFormat="1" ht="11.25" customHeight="1">
      <c r="D68" s="348"/>
      <c r="E68" s="310" t="s">
        <v>624</v>
      </c>
      <c r="H68" s="2684"/>
      <c r="I68" s="2685"/>
      <c r="J68" s="2512"/>
      <c r="K68" s="1558" t="s">
        <v>2724</v>
      </c>
      <c r="L68" s="2684"/>
      <c r="M68" s="2685"/>
      <c r="N68" s="2512"/>
      <c r="O68" s="1557" t="s">
        <v>1734</v>
      </c>
      <c r="Q68" s="2682"/>
      <c r="R68" s="2686"/>
      <c r="S68" s="2683"/>
    </row>
    <row r="69" spans="1:19" s="305" customFormat="1" ht="11.25" customHeight="1">
      <c r="E69" s="310" t="s">
        <v>1812</v>
      </c>
      <c r="H69" s="2380"/>
      <c r="K69" s="1559" t="s">
        <v>2246</v>
      </c>
      <c r="L69" s="2687"/>
      <c r="M69" s="2688"/>
      <c r="O69" s="1557" t="s">
        <v>1996</v>
      </c>
      <c r="Q69" s="2682"/>
      <c r="R69" s="2686"/>
      <c r="S69" s="2683"/>
    </row>
    <row r="70" spans="1:19" s="305" customFormat="1" ht="11.25" customHeight="1">
      <c r="D70" s="348"/>
      <c r="E70" s="310" t="s">
        <v>4316</v>
      </c>
      <c r="H70" s="2682"/>
      <c r="I70" s="2683"/>
      <c r="J70" s="2381"/>
      <c r="K70" s="1569" t="s">
        <v>2001</v>
      </c>
      <c r="L70" s="2517"/>
      <c r="M70" s="2477"/>
      <c r="N70" s="2477"/>
      <c r="O70" s="2477"/>
      <c r="P70" s="2477"/>
      <c r="Q70" s="2477"/>
      <c r="R70" s="2477"/>
      <c r="S70" s="2478"/>
    </row>
    <row r="71" spans="1:19" ht="6.6" customHeight="1">
      <c r="H71" s="2382"/>
      <c r="I71" s="2382"/>
      <c r="J71" s="2382"/>
      <c r="K71" s="1569"/>
      <c r="L71" s="2382"/>
      <c r="M71" s="2382"/>
      <c r="N71" s="1563"/>
      <c r="O71" s="1613"/>
      <c r="P71" s="1613"/>
      <c r="Q71" s="1569"/>
      <c r="R71" s="1613"/>
      <c r="S71" s="1613"/>
    </row>
    <row r="72" spans="1:19" s="305" customFormat="1" ht="11.25" customHeight="1">
      <c r="B72" s="307" t="s">
        <v>2132</v>
      </c>
      <c r="C72" s="307" t="s">
        <v>286</v>
      </c>
      <c r="H72" s="2684"/>
      <c r="I72" s="2685"/>
      <c r="J72" s="2685"/>
      <c r="K72" s="2685"/>
      <c r="L72" s="2685"/>
      <c r="M72" s="2685"/>
      <c r="N72" s="2512"/>
      <c r="O72" s="1557" t="s">
        <v>2006</v>
      </c>
      <c r="P72" s="1557"/>
      <c r="Q72" s="2684"/>
      <c r="R72" s="2685"/>
      <c r="S72" s="2512"/>
    </row>
    <row r="73" spans="1:19" s="305" customFormat="1" ht="11.25" customHeight="1">
      <c r="D73" s="348"/>
      <c r="E73" s="310" t="s">
        <v>1031</v>
      </c>
      <c r="F73" s="318"/>
      <c r="H73" s="2684"/>
      <c r="I73" s="2685"/>
      <c r="J73" s="2685"/>
      <c r="K73" s="2685"/>
      <c r="L73" s="2685"/>
      <c r="M73" s="2685"/>
      <c r="N73" s="2512"/>
      <c r="O73" s="1557" t="s">
        <v>1760</v>
      </c>
      <c r="Q73" s="2684"/>
      <c r="R73" s="2685"/>
      <c r="S73" s="2512"/>
    </row>
    <row r="74" spans="1:19" s="305" customFormat="1" ht="11.25" customHeight="1">
      <c r="D74" s="348"/>
      <c r="E74" s="310" t="s">
        <v>624</v>
      </c>
      <c r="H74" s="2684"/>
      <c r="I74" s="2685"/>
      <c r="J74" s="2512"/>
      <c r="K74" s="1558" t="s">
        <v>2724</v>
      </c>
      <c r="L74" s="2684"/>
      <c r="M74" s="2685"/>
      <c r="N74" s="2512"/>
      <c r="O74" s="1557" t="s">
        <v>1734</v>
      </c>
      <c r="Q74" s="2682"/>
      <c r="R74" s="2686"/>
      <c r="S74" s="2683"/>
    </row>
    <row r="75" spans="1:19" s="305" customFormat="1" ht="11.25" customHeight="1">
      <c r="E75" s="310" t="s">
        <v>1812</v>
      </c>
      <c r="H75" s="2380"/>
      <c r="K75" s="1559" t="s">
        <v>2246</v>
      </c>
      <c r="L75" s="2687"/>
      <c r="M75" s="2688"/>
      <c r="O75" s="1557" t="s">
        <v>1996</v>
      </c>
      <c r="Q75" s="2682"/>
      <c r="R75" s="2686"/>
      <c r="S75" s="2683"/>
    </row>
    <row r="76" spans="1:19" s="305" customFormat="1" ht="11.25" customHeight="1">
      <c r="D76" s="348"/>
      <c r="E76" s="310" t="s">
        <v>4316</v>
      </c>
      <c r="H76" s="2682"/>
      <c r="I76" s="2683"/>
      <c r="J76" s="2381"/>
      <c r="K76" s="1569" t="s">
        <v>2001</v>
      </c>
      <c r="L76" s="2517"/>
      <c r="M76" s="2477"/>
      <c r="N76" s="2477"/>
      <c r="O76" s="2477"/>
      <c r="P76" s="2477"/>
      <c r="Q76" s="2477"/>
      <c r="R76" s="2477"/>
      <c r="S76" s="2478"/>
    </row>
    <row r="77" spans="1:19" ht="6.75" customHeight="1"/>
    <row r="78" spans="1:19" s="310" customFormat="1" ht="13.15" customHeight="1">
      <c r="A78" s="311" t="s">
        <v>750</v>
      </c>
      <c r="B78" s="311" t="s">
        <v>287</v>
      </c>
      <c r="D78" s="311"/>
      <c r="E78" s="1557"/>
      <c r="F78" s="277"/>
      <c r="G78" s="277"/>
      <c r="H78" s="277"/>
      <c r="I78" s="277"/>
      <c r="J78" s="277"/>
      <c r="K78" s="1417" t="s">
        <v>4315</v>
      </c>
      <c r="L78" s="277"/>
      <c r="M78" s="277"/>
    </row>
    <row r="79" spans="1:19" s="310" customFormat="1" ht="3" customHeight="1">
      <c r="A79" s="311"/>
      <c r="B79" s="311"/>
      <c r="D79" s="311"/>
      <c r="E79" s="1557"/>
      <c r="F79" s="277"/>
      <c r="G79" s="277"/>
      <c r="H79" s="2383"/>
      <c r="I79" s="2383"/>
      <c r="J79" s="2383"/>
      <c r="K79" s="1563"/>
      <c r="L79" s="2383"/>
      <c r="M79" s="2383"/>
      <c r="N79" s="1563"/>
      <c r="O79" s="1613"/>
      <c r="P79" s="1613"/>
      <c r="Q79" s="1569"/>
      <c r="R79" s="1613"/>
      <c r="S79" s="1613"/>
    </row>
    <row r="80" spans="1:19" s="305" customFormat="1" ht="11.25" customHeight="1">
      <c r="B80" s="307" t="s">
        <v>2000</v>
      </c>
      <c r="C80" s="307" t="s">
        <v>288</v>
      </c>
      <c r="H80" s="2684"/>
      <c r="I80" s="2685"/>
      <c r="J80" s="2685"/>
      <c r="K80" s="2685"/>
      <c r="L80" s="2685"/>
      <c r="M80" s="2685"/>
      <c r="N80" s="2512"/>
      <c r="O80" s="1557" t="s">
        <v>2006</v>
      </c>
      <c r="P80" s="1557"/>
      <c r="Q80" s="2684"/>
      <c r="R80" s="2685"/>
      <c r="S80" s="2512"/>
    </row>
    <row r="81" spans="2:19" s="305" customFormat="1" ht="11.25" customHeight="1">
      <c r="D81" s="348"/>
      <c r="E81" s="310" t="s">
        <v>1031</v>
      </c>
      <c r="F81" s="318"/>
      <c r="H81" s="2684"/>
      <c r="I81" s="2685"/>
      <c r="J81" s="2685"/>
      <c r="K81" s="2685"/>
      <c r="L81" s="2685"/>
      <c r="M81" s="2685"/>
      <c r="N81" s="2512"/>
      <c r="O81" s="1557" t="s">
        <v>1760</v>
      </c>
      <c r="Q81" s="2684"/>
      <c r="R81" s="2685"/>
      <c r="S81" s="2512"/>
    </row>
    <row r="82" spans="2:19" s="305" customFormat="1" ht="11.25" customHeight="1">
      <c r="D82" s="348"/>
      <c r="E82" s="310" t="s">
        <v>624</v>
      </c>
      <c r="H82" s="2684"/>
      <c r="I82" s="2685"/>
      <c r="J82" s="2512"/>
      <c r="K82" s="1558" t="s">
        <v>2724</v>
      </c>
      <c r="L82" s="2684"/>
      <c r="M82" s="2685"/>
      <c r="N82" s="2512"/>
      <c r="O82" s="1557" t="s">
        <v>1734</v>
      </c>
      <c r="Q82" s="2682"/>
      <c r="R82" s="2686"/>
      <c r="S82" s="2683"/>
    </row>
    <row r="83" spans="2:19" s="305" customFormat="1" ht="11.25" customHeight="1">
      <c r="E83" s="310" t="s">
        <v>1812</v>
      </c>
      <c r="H83" s="2380"/>
      <c r="K83" s="1559" t="s">
        <v>2246</v>
      </c>
      <c r="L83" s="2687"/>
      <c r="M83" s="2688"/>
      <c r="O83" s="1557" t="s">
        <v>1996</v>
      </c>
      <c r="Q83" s="2682"/>
      <c r="R83" s="2686"/>
      <c r="S83" s="2683"/>
    </row>
    <row r="84" spans="2:19" s="305" customFormat="1" ht="11.25" customHeight="1">
      <c r="D84" s="348"/>
      <c r="E84" s="310" t="s">
        <v>4316</v>
      </c>
      <c r="H84" s="2682"/>
      <c r="I84" s="2683"/>
      <c r="J84" s="2381"/>
      <c r="K84" s="1569" t="s">
        <v>2001</v>
      </c>
      <c r="L84" s="2517"/>
      <c r="M84" s="2477"/>
      <c r="N84" s="2477"/>
      <c r="O84" s="2477"/>
      <c r="P84" s="2477"/>
      <c r="Q84" s="2477"/>
      <c r="R84" s="2477"/>
      <c r="S84" s="2478"/>
    </row>
    <row r="85" spans="2:19" ht="6.6" customHeight="1">
      <c r="H85" s="2382"/>
      <c r="I85" s="2382"/>
      <c r="J85" s="2382"/>
      <c r="K85" s="1569"/>
      <c r="L85" s="2382"/>
      <c r="M85" s="2382"/>
      <c r="N85" s="1563"/>
      <c r="O85" s="1613"/>
      <c r="P85" s="1613"/>
      <c r="Q85" s="1569"/>
      <c r="R85" s="1613"/>
      <c r="S85" s="1613"/>
    </row>
    <row r="86" spans="2:19" s="305" customFormat="1" ht="11.25" customHeight="1">
      <c r="B86" s="307" t="s">
        <v>2002</v>
      </c>
      <c r="C86" s="307" t="s">
        <v>289</v>
      </c>
      <c r="H86" s="2684" t="s">
        <v>4729</v>
      </c>
      <c r="I86" s="2685"/>
      <c r="J86" s="2685"/>
      <c r="K86" s="2685"/>
      <c r="L86" s="2685"/>
      <c r="M86" s="2685"/>
      <c r="N86" s="2512"/>
      <c r="O86" s="1557" t="s">
        <v>2006</v>
      </c>
      <c r="P86" s="1557"/>
      <c r="Q86" s="2684" t="s">
        <v>4629</v>
      </c>
      <c r="R86" s="2685"/>
      <c r="S86" s="2512"/>
    </row>
    <row r="87" spans="2:19" s="305" customFormat="1" ht="11.25" customHeight="1">
      <c r="D87" s="348"/>
      <c r="E87" s="310" t="s">
        <v>1031</v>
      </c>
      <c r="F87" s="318"/>
      <c r="H87" s="2684" t="s">
        <v>4638</v>
      </c>
      <c r="I87" s="2685"/>
      <c r="J87" s="2685"/>
      <c r="K87" s="2685"/>
      <c r="L87" s="2685"/>
      <c r="M87" s="2685"/>
      <c r="N87" s="2512"/>
      <c r="O87" s="1557" t="s">
        <v>1760</v>
      </c>
      <c r="Q87" s="2684" t="s">
        <v>4631</v>
      </c>
      <c r="R87" s="2685"/>
      <c r="S87" s="2512"/>
    </row>
    <row r="88" spans="2:19" s="305" customFormat="1" ht="11.25" customHeight="1">
      <c r="D88" s="348"/>
      <c r="E88" s="310" t="s">
        <v>624</v>
      </c>
      <c r="H88" s="2684" t="s">
        <v>1217</v>
      </c>
      <c r="I88" s="2685"/>
      <c r="J88" s="2512"/>
      <c r="K88" s="1558" t="s">
        <v>2724</v>
      </c>
      <c r="L88" s="2684" t="s">
        <v>4645</v>
      </c>
      <c r="M88" s="2685"/>
      <c r="N88" s="2512"/>
      <c r="O88" s="1557" t="s">
        <v>1734</v>
      </c>
      <c r="Q88" s="2682">
        <v>6783245550</v>
      </c>
      <c r="R88" s="2686"/>
      <c r="S88" s="2683"/>
    </row>
    <row r="89" spans="2:19" s="305" customFormat="1" ht="11.25" customHeight="1">
      <c r="E89" s="310" t="s">
        <v>1812</v>
      </c>
      <c r="H89" s="2380" t="s">
        <v>856</v>
      </c>
      <c r="K89" s="1559" t="s">
        <v>2246</v>
      </c>
      <c r="L89" s="2687">
        <v>303394002</v>
      </c>
      <c r="M89" s="2688"/>
      <c r="O89" s="1557" t="s">
        <v>1996</v>
      </c>
      <c r="Q89" s="2682">
        <v>7708627333</v>
      </c>
      <c r="R89" s="2686"/>
      <c r="S89" s="2683"/>
    </row>
    <row r="90" spans="2:19" s="305" customFormat="1" ht="11.25" customHeight="1">
      <c r="D90" s="348"/>
      <c r="E90" s="310" t="s">
        <v>4316</v>
      </c>
      <c r="H90" s="2682">
        <v>6783245540</v>
      </c>
      <c r="I90" s="2683"/>
      <c r="J90" s="2381">
        <v>101</v>
      </c>
      <c r="K90" s="1569" t="s">
        <v>2001</v>
      </c>
      <c r="L90" s="2517" t="s">
        <v>4644</v>
      </c>
      <c r="M90" s="2477"/>
      <c r="N90" s="2477"/>
      <c r="O90" s="2477"/>
      <c r="P90" s="2477"/>
      <c r="Q90" s="2477"/>
      <c r="R90" s="2477"/>
      <c r="S90" s="2478"/>
    </row>
    <row r="91" spans="2:19" ht="6.6" customHeight="1">
      <c r="H91" s="2382"/>
      <c r="I91" s="2382"/>
      <c r="J91" s="2382"/>
      <c r="K91" s="1569"/>
      <c r="L91" s="2382"/>
      <c r="M91" s="2382"/>
      <c r="N91" s="1563"/>
      <c r="O91" s="1613"/>
      <c r="P91" s="1613"/>
      <c r="Q91" s="1569"/>
      <c r="R91" s="1613"/>
      <c r="S91" s="1613"/>
    </row>
    <row r="92" spans="2:19" s="305" customFormat="1" ht="11.25" customHeight="1">
      <c r="B92" s="307" t="s">
        <v>757</v>
      </c>
      <c r="C92" s="307" t="s">
        <v>290</v>
      </c>
      <c r="F92" s="324"/>
      <c r="H92" s="2684" t="s">
        <v>4730</v>
      </c>
      <c r="I92" s="2685"/>
      <c r="J92" s="2685"/>
      <c r="K92" s="2685"/>
      <c r="L92" s="2685"/>
      <c r="M92" s="2685"/>
      <c r="N92" s="2512"/>
      <c r="O92" s="1557" t="s">
        <v>2006</v>
      </c>
      <c r="P92" s="1557"/>
      <c r="Q92" s="2684" t="s">
        <v>4629</v>
      </c>
      <c r="R92" s="2685"/>
      <c r="S92" s="2512"/>
    </row>
    <row r="93" spans="2:19" s="305" customFormat="1" ht="11.25" customHeight="1">
      <c r="D93" s="348"/>
      <c r="E93" s="310" t="s">
        <v>1031</v>
      </c>
      <c r="F93" s="318"/>
      <c r="H93" s="2684" t="s">
        <v>4638</v>
      </c>
      <c r="I93" s="2685"/>
      <c r="J93" s="2685"/>
      <c r="K93" s="2685"/>
      <c r="L93" s="2685"/>
      <c r="M93" s="2685"/>
      <c r="N93" s="2512"/>
      <c r="O93" s="1557" t="s">
        <v>1760</v>
      </c>
      <c r="Q93" s="2684" t="s">
        <v>4631</v>
      </c>
      <c r="R93" s="2685"/>
      <c r="S93" s="2512"/>
    </row>
    <row r="94" spans="2:19" s="305" customFormat="1" ht="11.25" customHeight="1">
      <c r="D94" s="348"/>
      <c r="E94" s="310" t="s">
        <v>624</v>
      </c>
      <c r="H94" s="2684" t="s">
        <v>1217</v>
      </c>
      <c r="I94" s="2685"/>
      <c r="J94" s="2512"/>
      <c r="K94" s="1558" t="s">
        <v>2724</v>
      </c>
      <c r="L94" s="2684" t="s">
        <v>4645</v>
      </c>
      <c r="M94" s="2685"/>
      <c r="N94" s="2512"/>
      <c r="O94" s="1557" t="s">
        <v>1734</v>
      </c>
      <c r="Q94" s="2682">
        <v>6783245550</v>
      </c>
      <c r="R94" s="2686"/>
      <c r="S94" s="2683"/>
    </row>
    <row r="95" spans="2:19" s="305" customFormat="1" ht="11.25" customHeight="1">
      <c r="D95" s="348"/>
      <c r="E95" s="310" t="s">
        <v>1812</v>
      </c>
      <c r="H95" s="2380" t="s">
        <v>856</v>
      </c>
      <c r="K95" s="1559" t="s">
        <v>2246</v>
      </c>
      <c r="L95" s="2687">
        <v>303394002</v>
      </c>
      <c r="M95" s="2688"/>
      <c r="O95" s="1557" t="s">
        <v>1996</v>
      </c>
      <c r="Q95" s="2682">
        <v>7708627333</v>
      </c>
      <c r="R95" s="2686"/>
      <c r="S95" s="2683"/>
    </row>
    <row r="96" spans="2:19" s="305" customFormat="1" ht="11.25" customHeight="1">
      <c r="D96" s="348"/>
      <c r="E96" s="310" t="s">
        <v>4316</v>
      </c>
      <c r="H96" s="2682">
        <v>6783245540</v>
      </c>
      <c r="I96" s="2683"/>
      <c r="J96" s="2381">
        <v>101</v>
      </c>
      <c r="K96" s="1569" t="s">
        <v>2001</v>
      </c>
      <c r="L96" s="2517" t="s">
        <v>4644</v>
      </c>
      <c r="M96" s="2477"/>
      <c r="N96" s="2477"/>
      <c r="O96" s="2477"/>
      <c r="P96" s="2477"/>
      <c r="Q96" s="2477"/>
      <c r="R96" s="2477"/>
      <c r="S96" s="2478"/>
    </row>
    <row r="97" spans="2:19" ht="6.6" customHeight="1">
      <c r="H97" s="2382"/>
      <c r="I97" s="2382"/>
      <c r="J97" s="2382"/>
      <c r="K97" s="1569"/>
      <c r="L97" s="2382"/>
      <c r="M97" s="2382"/>
      <c r="N97" s="1563"/>
      <c r="O97" s="1613"/>
      <c r="P97" s="1613"/>
      <c r="Q97" s="1569"/>
      <c r="R97" s="1613"/>
      <c r="S97" s="1613"/>
    </row>
    <row r="98" spans="2:19" s="305" customFormat="1" ht="11.25" customHeight="1">
      <c r="B98" s="307" t="s">
        <v>2132</v>
      </c>
      <c r="C98" s="307" t="s">
        <v>291</v>
      </c>
      <c r="H98" s="2684" t="s">
        <v>4636</v>
      </c>
      <c r="I98" s="2685"/>
      <c r="J98" s="2685"/>
      <c r="K98" s="2685"/>
      <c r="L98" s="2685"/>
      <c r="M98" s="2685"/>
      <c r="N98" s="2512"/>
      <c r="O98" s="1557" t="s">
        <v>2006</v>
      </c>
      <c r="P98" s="1557"/>
      <c r="Q98" s="2684" t="s">
        <v>4628</v>
      </c>
      <c r="R98" s="2685"/>
      <c r="S98" s="2512"/>
    </row>
    <row r="99" spans="2:19" s="305" customFormat="1" ht="11.25" customHeight="1">
      <c r="D99" s="348"/>
      <c r="E99" s="310" t="s">
        <v>1031</v>
      </c>
      <c r="F99" s="318"/>
      <c r="H99" s="2684" t="s">
        <v>4637</v>
      </c>
      <c r="I99" s="2685"/>
      <c r="J99" s="2685"/>
      <c r="K99" s="2685"/>
      <c r="L99" s="2685"/>
      <c r="M99" s="2685"/>
      <c r="N99" s="2512"/>
      <c r="O99" s="1557" t="s">
        <v>1760</v>
      </c>
      <c r="Q99" s="2684" t="s">
        <v>4627</v>
      </c>
      <c r="R99" s="2685"/>
      <c r="S99" s="2512"/>
    </row>
    <row r="100" spans="2:19" s="305" customFormat="1" ht="11.25" customHeight="1">
      <c r="D100" s="348"/>
      <c r="E100" s="310" t="s">
        <v>624</v>
      </c>
      <c r="H100" s="2684" t="s">
        <v>1217</v>
      </c>
      <c r="I100" s="2685"/>
      <c r="J100" s="2512"/>
      <c r="K100" s="1558" t="s">
        <v>2724</v>
      </c>
      <c r="L100" s="2684" t="s">
        <v>4681</v>
      </c>
      <c r="M100" s="2685"/>
      <c r="N100" s="2512"/>
      <c r="O100" s="1557" t="s">
        <v>1734</v>
      </c>
      <c r="Q100" s="2682">
        <v>4048738708</v>
      </c>
      <c r="R100" s="2686"/>
      <c r="S100" s="2683"/>
    </row>
    <row r="101" spans="2:19" s="305" customFormat="1" ht="11.25" customHeight="1">
      <c r="D101" s="348"/>
      <c r="E101" s="310" t="s">
        <v>1812</v>
      </c>
      <c r="H101" s="2380" t="s">
        <v>856</v>
      </c>
      <c r="K101" s="1559" t="s">
        <v>2246</v>
      </c>
      <c r="L101" s="2687">
        <v>300691031</v>
      </c>
      <c r="M101" s="2688"/>
      <c r="O101" s="1557" t="s">
        <v>1996</v>
      </c>
      <c r="Q101" s="2682"/>
      <c r="R101" s="2686"/>
      <c r="S101" s="2683"/>
    </row>
    <row r="102" spans="2:19" ht="11.25" customHeight="1">
      <c r="E102" s="310" t="s">
        <v>4316</v>
      </c>
      <c r="F102" s="305"/>
      <c r="G102" s="305"/>
      <c r="H102" s="2682">
        <v>4048738500</v>
      </c>
      <c r="I102" s="2683"/>
      <c r="J102" s="2381"/>
      <c r="K102" s="1569" t="s">
        <v>2001</v>
      </c>
      <c r="L102" s="2517" t="s">
        <v>4682</v>
      </c>
      <c r="M102" s="2477"/>
      <c r="N102" s="2477"/>
      <c r="O102" s="2477"/>
      <c r="P102" s="2477"/>
      <c r="Q102" s="2477"/>
      <c r="R102" s="2477"/>
      <c r="S102" s="2478"/>
    </row>
    <row r="103" spans="2:19" ht="6" customHeight="1">
      <c r="E103" s="310"/>
      <c r="F103" s="305"/>
      <c r="G103" s="1566"/>
      <c r="H103" s="2383"/>
      <c r="I103" s="2383"/>
      <c r="J103" s="2383"/>
      <c r="K103" s="1563"/>
      <c r="L103" s="2383"/>
      <c r="M103" s="2383"/>
      <c r="N103" s="1563"/>
      <c r="O103" s="1613"/>
      <c r="P103" s="1613"/>
      <c r="Q103" s="1569"/>
      <c r="R103" s="1613"/>
      <c r="S103" s="1613"/>
    </row>
    <row r="104" spans="2:19" s="305" customFormat="1" ht="11.25" customHeight="1">
      <c r="B104" s="307" t="s">
        <v>1748</v>
      </c>
      <c r="C104" s="307" t="s">
        <v>292</v>
      </c>
      <c r="H104" s="2684" t="s">
        <v>4634</v>
      </c>
      <c r="I104" s="2685"/>
      <c r="J104" s="2685"/>
      <c r="K104" s="2685"/>
      <c r="L104" s="2685"/>
      <c r="M104" s="2685"/>
      <c r="N104" s="2512"/>
      <c r="O104" s="1557" t="s">
        <v>2006</v>
      </c>
      <c r="P104" s="1557"/>
      <c r="Q104" s="2684" t="s">
        <v>4626</v>
      </c>
      <c r="R104" s="2685"/>
      <c r="S104" s="2512"/>
    </row>
    <row r="105" spans="2:19" s="305" customFormat="1" ht="11.25" customHeight="1">
      <c r="D105" s="348"/>
      <c r="E105" s="310" t="s">
        <v>1031</v>
      </c>
      <c r="F105" s="318"/>
      <c r="H105" s="2684" t="s">
        <v>4635</v>
      </c>
      <c r="I105" s="2685"/>
      <c r="J105" s="2685"/>
      <c r="K105" s="2685"/>
      <c r="L105" s="2685"/>
      <c r="M105" s="2685"/>
      <c r="N105" s="2512"/>
      <c r="O105" s="1557" t="s">
        <v>1760</v>
      </c>
      <c r="Q105" s="2684" t="s">
        <v>4627</v>
      </c>
      <c r="R105" s="2685"/>
      <c r="S105" s="2512"/>
    </row>
    <row r="106" spans="2:19" s="305" customFormat="1" ht="11.25" customHeight="1">
      <c r="D106" s="348"/>
      <c r="E106" s="310" t="s">
        <v>624</v>
      </c>
      <c r="H106" s="2684" t="s">
        <v>1217</v>
      </c>
      <c r="I106" s="2685"/>
      <c r="J106" s="2512"/>
      <c r="K106" s="1558" t="s">
        <v>2724</v>
      </c>
      <c r="L106" s="2684" t="s">
        <v>4651</v>
      </c>
      <c r="M106" s="2685"/>
      <c r="N106" s="2512"/>
      <c r="O106" s="1557" t="s">
        <v>1734</v>
      </c>
      <c r="Q106" s="2682">
        <v>4043537115</v>
      </c>
      <c r="R106" s="2686"/>
      <c r="S106" s="2683"/>
    </row>
    <row r="107" spans="2:19" s="305" customFormat="1" ht="11.25" customHeight="1">
      <c r="D107" s="348"/>
      <c r="E107" s="310" t="s">
        <v>1812</v>
      </c>
      <c r="H107" s="2380" t="s">
        <v>856</v>
      </c>
      <c r="K107" s="1559" t="s">
        <v>2246</v>
      </c>
      <c r="L107" s="2687">
        <v>300286101</v>
      </c>
      <c r="M107" s="2688"/>
      <c r="O107" s="1557" t="s">
        <v>1996</v>
      </c>
      <c r="Q107" s="2682"/>
      <c r="R107" s="2686"/>
      <c r="S107" s="2683"/>
    </row>
    <row r="108" spans="2:19" ht="11.25" customHeight="1">
      <c r="E108" s="310" t="s">
        <v>4316</v>
      </c>
      <c r="F108" s="305"/>
      <c r="G108" s="305"/>
      <c r="H108" s="2682">
        <v>4048929651</v>
      </c>
      <c r="I108" s="2683"/>
      <c r="J108" s="2381"/>
      <c r="K108" s="1569" t="s">
        <v>2001</v>
      </c>
      <c r="L108" s="2517" t="s">
        <v>4650</v>
      </c>
      <c r="M108" s="2477"/>
      <c r="N108" s="2477"/>
      <c r="O108" s="2477"/>
      <c r="P108" s="2477"/>
      <c r="Q108" s="2477"/>
      <c r="R108" s="2477"/>
      <c r="S108" s="2478"/>
    </row>
    <row r="109" spans="2:19" ht="6.6" customHeight="1">
      <c r="E109" s="310"/>
      <c r="F109" s="305"/>
      <c r="G109" s="1566"/>
      <c r="H109" s="2382"/>
      <c r="I109" s="2382"/>
      <c r="J109" s="2382"/>
      <c r="K109" s="1569"/>
      <c r="L109" s="2382"/>
      <c r="M109" s="2382"/>
      <c r="N109" s="1563"/>
      <c r="O109" s="1613"/>
      <c r="P109" s="1613"/>
      <c r="Q109" s="1569"/>
      <c r="R109" s="1613"/>
      <c r="S109" s="1613"/>
    </row>
    <row r="110" spans="2:19" s="305" customFormat="1" ht="11.25" customHeight="1">
      <c r="B110" s="307" t="s">
        <v>1749</v>
      </c>
      <c r="C110" s="307" t="s">
        <v>293</v>
      </c>
      <c r="H110" s="2684" t="s">
        <v>4632</v>
      </c>
      <c r="I110" s="2685"/>
      <c r="J110" s="2685"/>
      <c r="K110" s="2685"/>
      <c r="L110" s="2685"/>
      <c r="M110" s="2685"/>
      <c r="N110" s="2512"/>
      <c r="O110" s="1557" t="s">
        <v>2006</v>
      </c>
      <c r="P110" s="1557"/>
      <c r="Q110" s="2684" t="s">
        <v>4624</v>
      </c>
      <c r="R110" s="2685"/>
      <c r="S110" s="2512"/>
    </row>
    <row r="111" spans="2:19" s="305" customFormat="1" ht="11.25" customHeight="1">
      <c r="D111" s="348"/>
      <c r="E111" s="310" t="s">
        <v>1031</v>
      </c>
      <c r="F111" s="318"/>
      <c r="H111" s="2684" t="s">
        <v>4633</v>
      </c>
      <c r="I111" s="2685"/>
      <c r="J111" s="2685"/>
      <c r="K111" s="2685"/>
      <c r="L111" s="2685"/>
      <c r="M111" s="2685"/>
      <c r="N111" s="2512"/>
      <c r="O111" s="1557" t="s">
        <v>1760</v>
      </c>
      <c r="Q111" s="2684" t="s">
        <v>4625</v>
      </c>
      <c r="R111" s="2685"/>
      <c r="S111" s="2512"/>
    </row>
    <row r="112" spans="2:19" s="305" customFormat="1" ht="11.25" customHeight="1">
      <c r="D112" s="348"/>
      <c r="E112" s="310" t="s">
        <v>624</v>
      </c>
      <c r="H112" s="2684" t="s">
        <v>198</v>
      </c>
      <c r="I112" s="2685"/>
      <c r="J112" s="2512"/>
      <c r="K112" s="1558" t="s">
        <v>2724</v>
      </c>
      <c r="L112" s="2684" t="s">
        <v>4652</v>
      </c>
      <c r="M112" s="2685"/>
      <c r="N112" s="2512"/>
      <c r="O112" s="1557" t="s">
        <v>1734</v>
      </c>
      <c r="Q112" s="2682">
        <v>4043732800</v>
      </c>
      <c r="R112" s="2686"/>
      <c r="S112" s="2683"/>
    </row>
    <row r="113" spans="1:22" s="305" customFormat="1" ht="11.25" customHeight="1">
      <c r="D113" s="352"/>
      <c r="E113" s="310" t="s">
        <v>1812</v>
      </c>
      <c r="H113" s="2380" t="s">
        <v>856</v>
      </c>
      <c r="K113" s="1559" t="s">
        <v>2246</v>
      </c>
      <c r="L113" s="2687">
        <v>300303329</v>
      </c>
      <c r="M113" s="2688"/>
      <c r="O113" s="1557" t="s">
        <v>1996</v>
      </c>
      <c r="Q113" s="2682"/>
      <c r="R113" s="2686"/>
      <c r="S113" s="2683"/>
    </row>
    <row r="114" spans="1:22" s="305" customFormat="1" ht="11.25" customHeight="1">
      <c r="D114" s="352"/>
      <c r="E114" s="310" t="s">
        <v>4316</v>
      </c>
      <c r="H114" s="2682">
        <v>4043732800</v>
      </c>
      <c r="I114" s="2683"/>
      <c r="J114" s="2381"/>
      <c r="K114" s="1569" t="s">
        <v>2001</v>
      </c>
      <c r="L114" s="2517" t="s">
        <v>4653</v>
      </c>
      <c r="M114" s="2477"/>
      <c r="N114" s="2477"/>
      <c r="O114" s="2477"/>
      <c r="P114" s="2477"/>
      <c r="Q114" s="2477"/>
      <c r="R114" s="2477"/>
      <c r="S114" s="2478"/>
    </row>
    <row r="115" spans="1:22" ht="3" customHeight="1"/>
    <row r="116" spans="1:22" s="305" customFormat="1" ht="12" customHeight="1">
      <c r="A116" s="307" t="s">
        <v>1805</v>
      </c>
      <c r="B116" s="307" t="s">
        <v>2621</v>
      </c>
      <c r="F116" s="307"/>
      <c r="G116" s="1569"/>
      <c r="H116" s="1569"/>
      <c r="I116" s="1569"/>
      <c r="J116" s="1569"/>
      <c r="K116" s="1569"/>
      <c r="L116" s="1569"/>
      <c r="M116" s="1569"/>
      <c r="N116" s="1569"/>
      <c r="O116" s="1569"/>
      <c r="P116" s="1569"/>
      <c r="Q116" s="1558"/>
    </row>
    <row r="117" spans="1:22" s="305" customFormat="1" ht="11.25" customHeight="1">
      <c r="B117" s="307" t="s">
        <v>2000</v>
      </c>
      <c r="C117" s="307" t="s">
        <v>3603</v>
      </c>
      <c r="H117" s="2530" t="s">
        <v>4685</v>
      </c>
      <c r="I117" s="2546"/>
      <c r="J117" s="2531"/>
      <c r="K117" s="1569" t="s">
        <v>2491</v>
      </c>
      <c r="L117" s="2684" t="s">
        <v>4666</v>
      </c>
      <c r="M117" s="2685"/>
      <c r="N117" s="2512"/>
      <c r="O117" s="310" t="s">
        <v>3604</v>
      </c>
      <c r="Q117" s="2684" t="s">
        <v>4714</v>
      </c>
      <c r="R117" s="2685"/>
      <c r="S117" s="2512"/>
    </row>
    <row r="118" spans="1:22" s="305" customFormat="1" ht="11.25" customHeight="1">
      <c r="D118" s="348"/>
      <c r="E118" s="310" t="s">
        <v>1031</v>
      </c>
      <c r="F118" s="318"/>
      <c r="H118" s="2684" t="s">
        <v>4683</v>
      </c>
      <c r="I118" s="2685"/>
      <c r="J118" s="2685"/>
      <c r="K118" s="2685"/>
      <c r="L118" s="2685"/>
      <c r="M118" s="2685"/>
      <c r="N118" s="2512"/>
      <c r="O118" s="310" t="s">
        <v>624</v>
      </c>
      <c r="Q118" s="2684" t="s">
        <v>4684</v>
      </c>
      <c r="R118" s="2685"/>
      <c r="S118" s="2512"/>
    </row>
    <row r="119" spans="1:22" s="305" customFormat="1" ht="11.25" customHeight="1">
      <c r="D119" s="348"/>
      <c r="E119" s="310" t="s">
        <v>1812</v>
      </c>
      <c r="H119" s="2380" t="s">
        <v>856</v>
      </c>
      <c r="I119" s="1559" t="s">
        <v>2246</v>
      </c>
      <c r="J119" s="2675">
        <v>318080000</v>
      </c>
      <c r="K119" s="2512"/>
      <c r="L119" s="1569" t="s">
        <v>2001</v>
      </c>
      <c r="M119" s="2517" t="s">
        <v>4667</v>
      </c>
      <c r="N119" s="2477"/>
      <c r="O119" s="2477"/>
      <c r="P119" s="2477"/>
      <c r="Q119" s="2477"/>
      <c r="R119" s="2477"/>
      <c r="S119" s="2478"/>
    </row>
    <row r="120" spans="1:22" ht="12" customHeight="1">
      <c r="B120" s="307" t="s">
        <v>2002</v>
      </c>
      <c r="C120" s="307" t="s">
        <v>2855</v>
      </c>
      <c r="H120" s="1612"/>
      <c r="I120" s="1612"/>
      <c r="J120" s="1612"/>
      <c r="K120" s="1612"/>
      <c r="L120" s="1612"/>
      <c r="M120" s="1612"/>
      <c r="N120" s="1612"/>
      <c r="O120" s="1612"/>
      <c r="P120" s="1612"/>
      <c r="Q120" s="1612"/>
      <c r="R120" s="1612"/>
      <c r="S120" s="1612"/>
    </row>
    <row r="121" spans="1:22" ht="11.25" customHeight="1">
      <c r="A121" s="2676" t="s">
        <v>3914</v>
      </c>
      <c r="B121" s="2676"/>
      <c r="C121" s="2676"/>
      <c r="D121" s="2676"/>
      <c r="E121" s="2677"/>
      <c r="F121" s="2384" t="s">
        <v>2528</v>
      </c>
      <c r="G121" s="2678" t="s">
        <v>3503</v>
      </c>
      <c r="H121" s="2679"/>
      <c r="I121" s="2679"/>
      <c r="J121" s="2679"/>
      <c r="K121" s="2679"/>
      <c r="L121" s="2679"/>
      <c r="M121" s="2679"/>
      <c r="N121" s="2679"/>
      <c r="O121" s="2679"/>
      <c r="P121" s="2679"/>
      <c r="Q121" s="2679"/>
      <c r="R121" s="2679"/>
      <c r="S121" s="2680"/>
    </row>
    <row r="122" spans="1:22" s="305" customFormat="1" ht="31.5" customHeight="1">
      <c r="B122" s="521"/>
      <c r="C122" s="1195" t="s">
        <v>2003</v>
      </c>
      <c r="D122" s="2645" t="s">
        <v>2856</v>
      </c>
      <c r="E122" s="2681"/>
      <c r="F122" s="2385" t="s">
        <v>3012</v>
      </c>
      <c r="G122" s="2638" t="s">
        <v>4619</v>
      </c>
      <c r="H122" s="2639"/>
      <c r="I122" s="2639"/>
      <c r="J122" s="2639"/>
      <c r="K122" s="2639"/>
      <c r="L122" s="2639"/>
      <c r="M122" s="2639"/>
      <c r="N122" s="2639"/>
      <c r="O122" s="2639"/>
      <c r="P122" s="2639"/>
      <c r="Q122" s="2639"/>
      <c r="R122" s="2639"/>
      <c r="S122" s="2641"/>
      <c r="U122" s="2697" t="s">
        <v>2048</v>
      </c>
      <c r="V122" s="2697"/>
    </row>
    <row r="123" spans="1:22" s="305" customFormat="1" ht="31.5" customHeight="1">
      <c r="B123" s="521"/>
      <c r="C123" s="647" t="s">
        <v>2005</v>
      </c>
      <c r="D123" s="2558" t="s">
        <v>2922</v>
      </c>
      <c r="E123" s="2674"/>
      <c r="F123" s="2386" t="s">
        <v>3015</v>
      </c>
      <c r="G123" s="2618"/>
      <c r="H123" s="2619"/>
      <c r="I123" s="2619"/>
      <c r="J123" s="2619"/>
      <c r="K123" s="2619"/>
      <c r="L123" s="2619"/>
      <c r="M123" s="2619"/>
      <c r="N123" s="2619"/>
      <c r="O123" s="2619"/>
      <c r="P123" s="2619"/>
      <c r="Q123" s="2619"/>
      <c r="R123" s="2619"/>
      <c r="S123" s="2621"/>
      <c r="U123" s="2697"/>
      <c r="V123" s="2697"/>
    </row>
    <row r="124" spans="1:22" s="305" customFormat="1" ht="31.5" customHeight="1">
      <c r="B124" s="521"/>
      <c r="C124" s="647" t="s">
        <v>2552</v>
      </c>
      <c r="D124" s="2558" t="s">
        <v>2898</v>
      </c>
      <c r="E124" s="2674"/>
      <c r="F124" s="2386" t="s">
        <v>3012</v>
      </c>
      <c r="G124" s="2618" t="s">
        <v>4620</v>
      </c>
      <c r="H124" s="2619"/>
      <c r="I124" s="2619"/>
      <c r="J124" s="2619"/>
      <c r="K124" s="2619"/>
      <c r="L124" s="2619"/>
      <c r="M124" s="2619"/>
      <c r="N124" s="2619"/>
      <c r="O124" s="2619"/>
      <c r="P124" s="2619"/>
      <c r="Q124" s="2619"/>
      <c r="R124" s="2619"/>
      <c r="S124" s="2621"/>
      <c r="U124" s="2697"/>
      <c r="V124" s="2697"/>
    </row>
    <row r="125" spans="1:22" s="305" customFormat="1" ht="31.5" customHeight="1">
      <c r="B125" s="521"/>
      <c r="C125" s="647" t="s">
        <v>1236</v>
      </c>
      <c r="D125" s="2558" t="s">
        <v>2857</v>
      </c>
      <c r="E125" s="2674"/>
      <c r="F125" s="2386" t="s">
        <v>3015</v>
      </c>
      <c r="G125" s="2618"/>
      <c r="H125" s="2619"/>
      <c r="I125" s="2619"/>
      <c r="J125" s="2619"/>
      <c r="K125" s="2619"/>
      <c r="L125" s="2619"/>
      <c r="M125" s="2619"/>
      <c r="N125" s="2619"/>
      <c r="O125" s="2619"/>
      <c r="P125" s="2619"/>
      <c r="Q125" s="2619"/>
      <c r="R125" s="2619"/>
      <c r="S125" s="2621"/>
      <c r="U125" s="2697"/>
      <c r="V125" s="2697"/>
    </row>
    <row r="126" spans="1:22" s="305" customFormat="1" ht="31.5" customHeight="1">
      <c r="B126" s="521"/>
      <c r="C126" s="647" t="s">
        <v>1237</v>
      </c>
      <c r="D126" s="2558" t="s">
        <v>3490</v>
      </c>
      <c r="E126" s="2674"/>
      <c r="F126" s="2386" t="s">
        <v>3012</v>
      </c>
      <c r="G126" s="2618" t="s">
        <v>4621</v>
      </c>
      <c r="H126" s="2619"/>
      <c r="I126" s="2619"/>
      <c r="J126" s="2619"/>
      <c r="K126" s="2619"/>
      <c r="L126" s="2619"/>
      <c r="M126" s="2619"/>
      <c r="N126" s="2619"/>
      <c r="O126" s="2619"/>
      <c r="P126" s="2619"/>
      <c r="Q126" s="2619"/>
      <c r="R126" s="2619"/>
      <c r="S126" s="2621"/>
      <c r="U126" s="2697"/>
      <c r="V126" s="2697"/>
    </row>
    <row r="127" spans="1:22" s="305" customFormat="1" ht="31.5" customHeight="1">
      <c r="B127" s="521"/>
      <c r="C127" s="647" t="s">
        <v>1897</v>
      </c>
      <c r="D127" s="2558" t="s">
        <v>3491</v>
      </c>
      <c r="E127" s="2674"/>
      <c r="F127" s="2386" t="s">
        <v>3012</v>
      </c>
      <c r="G127" s="2618" t="s">
        <v>4622</v>
      </c>
      <c r="H127" s="2619"/>
      <c r="I127" s="2619"/>
      <c r="J127" s="2619"/>
      <c r="K127" s="2619"/>
      <c r="L127" s="2619"/>
      <c r="M127" s="2619"/>
      <c r="N127" s="2619"/>
      <c r="O127" s="2619"/>
      <c r="P127" s="2619"/>
      <c r="Q127" s="2619"/>
      <c r="R127" s="2619"/>
      <c r="S127" s="2621"/>
      <c r="U127" s="2697"/>
      <c r="V127" s="2697"/>
    </row>
    <row r="128" spans="1:22" s="305" customFormat="1" ht="31.5" customHeight="1">
      <c r="B128" s="521"/>
      <c r="C128" s="647" t="s">
        <v>508</v>
      </c>
      <c r="D128" s="2558" t="s">
        <v>2858</v>
      </c>
      <c r="E128" s="2674"/>
      <c r="F128" s="2386" t="s">
        <v>3015</v>
      </c>
      <c r="G128" s="2618"/>
      <c r="H128" s="2619"/>
      <c r="I128" s="2619"/>
      <c r="J128" s="2619"/>
      <c r="K128" s="2619"/>
      <c r="L128" s="2619"/>
      <c r="M128" s="2619"/>
      <c r="N128" s="2619"/>
      <c r="O128" s="2619"/>
      <c r="P128" s="2619"/>
      <c r="Q128" s="2619"/>
      <c r="R128" s="2619"/>
      <c r="S128" s="2621"/>
    </row>
    <row r="129" spans="1:22" s="305" customFormat="1" ht="31.5" customHeight="1">
      <c r="B129" s="521"/>
      <c r="C129" s="647" t="s">
        <v>509</v>
      </c>
      <c r="D129" s="2642" t="s">
        <v>3913</v>
      </c>
      <c r="E129" s="2643"/>
      <c r="F129" s="2387" t="s">
        <v>3015</v>
      </c>
      <c r="G129" s="2625"/>
      <c r="H129" s="2626"/>
      <c r="I129" s="2626"/>
      <c r="J129" s="2626"/>
      <c r="K129" s="2626"/>
      <c r="L129" s="2626"/>
      <c r="M129" s="2626"/>
      <c r="N129" s="2626"/>
      <c r="O129" s="2626"/>
      <c r="P129" s="2626"/>
      <c r="Q129" s="2626"/>
      <c r="R129" s="2626"/>
      <c r="S129" s="2628"/>
    </row>
    <row r="130" spans="1:22" s="305" customFormat="1" ht="13.15" customHeight="1">
      <c r="A130" s="307" t="s">
        <v>1807</v>
      </c>
      <c r="B130" s="307" t="s">
        <v>2867</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2859</v>
      </c>
    </row>
    <row r="133" spans="1:22" s="305" customFormat="1" ht="13.5" customHeight="1">
      <c r="A133" s="2644" t="s">
        <v>646</v>
      </c>
      <c r="B133" s="2645"/>
      <c r="C133" s="2645"/>
      <c r="D133" s="2645"/>
      <c r="E133" s="2649" t="s">
        <v>3471</v>
      </c>
      <c r="F133" s="2650"/>
      <c r="G133" s="2650"/>
      <c r="H133" s="2650"/>
      <c r="I133" s="2651"/>
      <c r="J133" s="2655" t="s">
        <v>3472</v>
      </c>
      <c r="K133" s="2658" t="s">
        <v>2929</v>
      </c>
      <c r="L133" s="2658" t="s">
        <v>2930</v>
      </c>
      <c r="M133" s="2661" t="s">
        <v>3482</v>
      </c>
      <c r="N133" s="2662"/>
      <c r="O133" s="2662"/>
      <c r="P133" s="2662"/>
      <c r="Q133" s="2662"/>
      <c r="R133" s="2662"/>
      <c r="S133" s="2663"/>
    </row>
    <row r="134" spans="1:22" s="305" customFormat="1" ht="13.5" customHeight="1">
      <c r="A134" s="2646"/>
      <c r="B134" s="2526"/>
      <c r="C134" s="2526"/>
      <c r="D134" s="2526"/>
      <c r="E134" s="2652"/>
      <c r="F134" s="2653"/>
      <c r="G134" s="2653"/>
      <c r="H134" s="2653"/>
      <c r="I134" s="2654"/>
      <c r="J134" s="2656"/>
      <c r="K134" s="2659"/>
      <c r="L134" s="2659"/>
      <c r="M134" s="2664"/>
      <c r="N134" s="2665"/>
      <c r="O134" s="2665"/>
      <c r="P134" s="2665"/>
      <c r="Q134" s="2665"/>
      <c r="R134" s="2665"/>
      <c r="S134" s="2666"/>
    </row>
    <row r="135" spans="1:22" s="305" customFormat="1" ht="13.5" customHeight="1">
      <c r="A135" s="2646"/>
      <c r="B135" s="2526"/>
      <c r="C135" s="2526"/>
      <c r="D135" s="2526"/>
      <c r="E135" s="2652"/>
      <c r="F135" s="2653"/>
      <c r="G135" s="2653"/>
      <c r="H135" s="2653"/>
      <c r="I135" s="2654"/>
      <c r="J135" s="2656"/>
      <c r="K135" s="2659"/>
      <c r="L135" s="2659"/>
      <c r="M135" s="2664"/>
      <c r="N135" s="2665"/>
      <c r="O135" s="2665"/>
      <c r="P135" s="2665"/>
      <c r="Q135" s="2665"/>
      <c r="R135" s="2665"/>
      <c r="S135" s="2666"/>
    </row>
    <row r="136" spans="1:22" s="305" customFormat="1" ht="23.25" customHeight="1">
      <c r="A136" s="2646"/>
      <c r="B136" s="2526"/>
      <c r="C136" s="2526"/>
      <c r="D136" s="2526"/>
      <c r="E136" s="2667" t="s">
        <v>3747</v>
      </c>
      <c r="F136" s="2668"/>
      <c r="G136" s="2668"/>
      <c r="H136" s="2669"/>
      <c r="I136" s="648"/>
      <c r="J136" s="2656"/>
      <c r="K136" s="2659"/>
      <c r="L136" s="2659"/>
      <c r="M136" s="2664"/>
      <c r="N136" s="2665"/>
      <c r="O136" s="2665"/>
      <c r="P136" s="2665"/>
      <c r="Q136" s="2665"/>
      <c r="R136" s="2665"/>
      <c r="S136" s="2666"/>
    </row>
    <row r="137" spans="1:22" s="305" customFormat="1" ht="13.5" customHeight="1">
      <c r="A137" s="2647"/>
      <c r="B137" s="2648"/>
      <c r="C137" s="2648"/>
      <c r="D137" s="2648"/>
      <c r="E137" s="2670"/>
      <c r="F137" s="2671"/>
      <c r="G137" s="2671"/>
      <c r="H137" s="2672"/>
      <c r="I137" s="899" t="s">
        <v>2528</v>
      </c>
      <c r="J137" s="2657"/>
      <c r="K137" s="2660"/>
      <c r="L137" s="2659"/>
      <c r="M137" s="381" t="s">
        <v>2528</v>
      </c>
      <c r="N137" s="2571" t="s">
        <v>2928</v>
      </c>
      <c r="O137" s="2571"/>
      <c r="P137" s="2571"/>
      <c r="Q137" s="2571"/>
      <c r="R137" s="2571"/>
      <c r="S137" s="2673"/>
    </row>
    <row r="138" spans="1:22" s="305" customFormat="1" ht="37.5" customHeight="1">
      <c r="A138" s="2635" t="s">
        <v>3466</v>
      </c>
      <c r="B138" s="2636"/>
      <c r="C138" s="2636"/>
      <c r="D138" s="2637"/>
      <c r="E138" s="2638"/>
      <c r="F138" s="2639"/>
      <c r="G138" s="2639"/>
      <c r="H138" s="2639"/>
      <c r="I138" s="2388" t="s">
        <v>3015</v>
      </c>
      <c r="J138" s="2385" t="s">
        <v>3015</v>
      </c>
      <c r="K138" s="2389" t="s">
        <v>4623</v>
      </c>
      <c r="L138" s="2390">
        <v>9.0000000000000006E-5</v>
      </c>
      <c r="M138" s="2391" t="s">
        <v>3012</v>
      </c>
      <c r="N138" s="2640" t="s">
        <v>4712</v>
      </c>
      <c r="O138" s="2639"/>
      <c r="P138" s="2639"/>
      <c r="Q138" s="2639"/>
      <c r="R138" s="2639"/>
      <c r="S138" s="2641"/>
    </row>
    <row r="139" spans="1:22" s="305" customFormat="1" ht="24" customHeight="1">
      <c r="A139" s="2615" t="s">
        <v>3467</v>
      </c>
      <c r="B139" s="2616"/>
      <c r="C139" s="2616"/>
      <c r="D139" s="2617"/>
      <c r="E139" s="2618"/>
      <c r="F139" s="2619"/>
      <c r="G139" s="2619"/>
      <c r="H139" s="2619"/>
      <c r="I139" s="2392"/>
      <c r="J139" s="2386"/>
      <c r="K139" s="2393"/>
      <c r="L139" s="2394"/>
      <c r="M139" s="2395"/>
      <c r="N139" s="2620"/>
      <c r="O139" s="2619"/>
      <c r="P139" s="2619"/>
      <c r="Q139" s="2619"/>
      <c r="R139" s="2619"/>
      <c r="S139" s="2621"/>
      <c r="U139" s="2697" t="s">
        <v>2048</v>
      </c>
      <c r="V139" s="2697"/>
    </row>
    <row r="140" spans="1:22" s="305" customFormat="1" ht="24" customHeight="1">
      <c r="A140" s="2615" t="s">
        <v>3468</v>
      </c>
      <c r="B140" s="2616"/>
      <c r="C140" s="2616"/>
      <c r="D140" s="2617"/>
      <c r="E140" s="2618"/>
      <c r="F140" s="2619"/>
      <c r="G140" s="2619"/>
      <c r="H140" s="2619"/>
      <c r="I140" s="2392"/>
      <c r="J140" s="2386"/>
      <c r="K140" s="2393"/>
      <c r="L140" s="2394"/>
      <c r="M140" s="2395"/>
      <c r="N140" s="2620"/>
      <c r="O140" s="2619"/>
      <c r="P140" s="2619"/>
      <c r="Q140" s="2619"/>
      <c r="R140" s="2619"/>
      <c r="S140" s="2621"/>
      <c r="U140" s="2697"/>
      <c r="V140" s="2697"/>
    </row>
    <row r="141" spans="1:22" s="305" customFormat="1" ht="24" customHeight="1">
      <c r="A141" s="2615" t="s">
        <v>3469</v>
      </c>
      <c r="B141" s="2616"/>
      <c r="C141" s="2616"/>
      <c r="D141" s="2617"/>
      <c r="E141" s="2618"/>
      <c r="F141" s="2619"/>
      <c r="G141" s="2619"/>
      <c r="H141" s="2619"/>
      <c r="I141" s="2392" t="s">
        <v>3015</v>
      </c>
      <c r="J141" s="2386" t="s">
        <v>3015</v>
      </c>
      <c r="K141" s="2393" t="s">
        <v>4623</v>
      </c>
      <c r="L141" s="2394">
        <v>0.98990999999999996</v>
      </c>
      <c r="M141" s="2395" t="s">
        <v>3015</v>
      </c>
      <c r="N141" s="2620"/>
      <c r="O141" s="2619"/>
      <c r="P141" s="2619"/>
      <c r="Q141" s="2619"/>
      <c r="R141" s="2619"/>
      <c r="S141" s="2621"/>
      <c r="U141" s="2697"/>
      <c r="V141" s="2697"/>
    </row>
    <row r="142" spans="1:22" s="305" customFormat="1" ht="37.5" customHeight="1">
      <c r="A142" s="2615" t="s">
        <v>3470</v>
      </c>
      <c r="B142" s="2616"/>
      <c r="C142" s="2616"/>
      <c r="D142" s="2617"/>
      <c r="E142" s="2618"/>
      <c r="F142" s="2619"/>
      <c r="G142" s="2619"/>
      <c r="H142" s="2619"/>
      <c r="I142" s="2392" t="s">
        <v>3015</v>
      </c>
      <c r="J142" s="2386" t="s">
        <v>3015</v>
      </c>
      <c r="K142" s="2393" t="s">
        <v>4623</v>
      </c>
      <c r="L142" s="2394">
        <v>0.01</v>
      </c>
      <c r="M142" s="2395" t="s">
        <v>3012</v>
      </c>
      <c r="N142" s="2620" t="s">
        <v>4690</v>
      </c>
      <c r="O142" s="2619"/>
      <c r="P142" s="2619"/>
      <c r="Q142" s="2619"/>
      <c r="R142" s="2619"/>
      <c r="S142" s="2621"/>
      <c r="U142" s="2697"/>
      <c r="V142" s="2697"/>
    </row>
    <row r="143" spans="1:22" s="305" customFormat="1" ht="24" customHeight="1">
      <c r="A143" s="2615" t="s">
        <v>2915</v>
      </c>
      <c r="B143" s="2616"/>
      <c r="C143" s="2616"/>
      <c r="D143" s="2617"/>
      <c r="E143" s="2618"/>
      <c r="F143" s="2619"/>
      <c r="G143" s="2619"/>
      <c r="H143" s="2619"/>
      <c r="I143" s="2392"/>
      <c r="J143" s="2386"/>
      <c r="K143" s="2393"/>
      <c r="L143" s="2394"/>
      <c r="M143" s="2395"/>
      <c r="N143" s="2620"/>
      <c r="O143" s="2619"/>
      <c r="P143" s="2619"/>
      <c r="Q143" s="2619"/>
      <c r="R143" s="2619"/>
      <c r="S143" s="2621"/>
      <c r="U143" s="2697"/>
      <c r="V143" s="2697"/>
    </row>
    <row r="144" spans="1:22" s="305" customFormat="1" ht="42" customHeight="1">
      <c r="A144" s="2615" t="s">
        <v>659</v>
      </c>
      <c r="B144" s="2616"/>
      <c r="C144" s="2616"/>
      <c r="D144" s="2617"/>
      <c r="E144" s="2618"/>
      <c r="F144" s="2619"/>
      <c r="G144" s="2619"/>
      <c r="H144" s="2619"/>
      <c r="I144" s="2392" t="s">
        <v>3015</v>
      </c>
      <c r="J144" s="2386" t="s">
        <v>3015</v>
      </c>
      <c r="K144" s="2393" t="s">
        <v>4623</v>
      </c>
      <c r="L144" s="2394"/>
      <c r="M144" s="2395" t="s">
        <v>3012</v>
      </c>
      <c r="N144" s="2620" t="s">
        <v>4690</v>
      </c>
      <c r="O144" s="2619"/>
      <c r="P144" s="2619"/>
      <c r="Q144" s="2619"/>
      <c r="R144" s="2619"/>
      <c r="S144" s="2621"/>
      <c r="U144" s="2697"/>
      <c r="V144" s="2697"/>
    </row>
    <row r="145" spans="1:24" s="305" customFormat="1" ht="24" customHeight="1">
      <c r="A145" s="2615" t="s">
        <v>2916</v>
      </c>
      <c r="B145" s="2616"/>
      <c r="C145" s="2616"/>
      <c r="D145" s="2617"/>
      <c r="E145" s="2618"/>
      <c r="F145" s="2619"/>
      <c r="G145" s="2619"/>
      <c r="H145" s="2619"/>
      <c r="I145" s="2392"/>
      <c r="J145" s="2386"/>
      <c r="K145" s="2393"/>
      <c r="L145" s="2394"/>
      <c r="M145" s="2395"/>
      <c r="N145" s="2620"/>
      <c r="O145" s="2619"/>
      <c r="P145" s="2619"/>
      <c r="Q145" s="2619"/>
      <c r="R145" s="2619"/>
      <c r="S145" s="2621"/>
    </row>
    <row r="146" spans="1:24" s="305" customFormat="1" ht="24" customHeight="1">
      <c r="A146" s="2615" t="s">
        <v>2917</v>
      </c>
      <c r="B146" s="2616"/>
      <c r="C146" s="2616"/>
      <c r="D146" s="2617"/>
      <c r="E146" s="2618"/>
      <c r="F146" s="2619"/>
      <c r="G146" s="2619"/>
      <c r="H146" s="2619"/>
      <c r="I146" s="2392"/>
      <c r="J146" s="2386"/>
      <c r="K146" s="2393"/>
      <c r="L146" s="2394"/>
      <c r="M146" s="2395"/>
      <c r="N146" s="2620"/>
      <c r="O146" s="2619"/>
      <c r="P146" s="2619"/>
      <c r="Q146" s="2619"/>
      <c r="R146" s="2619"/>
      <c r="S146" s="2621"/>
    </row>
    <row r="147" spans="1:24" s="305" customFormat="1" ht="24" customHeight="1">
      <c r="A147" s="2615" t="s">
        <v>2919</v>
      </c>
      <c r="B147" s="2616"/>
      <c r="C147" s="2616"/>
      <c r="D147" s="2617"/>
      <c r="E147" s="2618"/>
      <c r="F147" s="2619"/>
      <c r="G147" s="2619"/>
      <c r="H147" s="2619"/>
      <c r="I147" s="2392"/>
      <c r="J147" s="2386"/>
      <c r="K147" s="2393"/>
      <c r="L147" s="2394"/>
      <c r="M147" s="2395"/>
      <c r="N147" s="2620"/>
      <c r="O147" s="2619"/>
      <c r="P147" s="2619"/>
      <c r="Q147" s="2619"/>
      <c r="R147" s="2619"/>
      <c r="S147" s="2621"/>
    </row>
    <row r="148" spans="1:24" s="305" customFormat="1" ht="24" customHeight="1">
      <c r="A148" s="2615" t="s">
        <v>2918</v>
      </c>
      <c r="B148" s="2616"/>
      <c r="C148" s="2616"/>
      <c r="D148" s="2617"/>
      <c r="E148" s="2618"/>
      <c r="F148" s="2619"/>
      <c r="G148" s="2619"/>
      <c r="H148" s="2619"/>
      <c r="I148" s="2392"/>
      <c r="J148" s="2386"/>
      <c r="K148" s="2393"/>
      <c r="L148" s="2394"/>
      <c r="M148" s="2395"/>
      <c r="N148" s="2620"/>
      <c r="O148" s="2619"/>
      <c r="P148" s="2619"/>
      <c r="Q148" s="2619"/>
      <c r="R148" s="2619"/>
      <c r="S148" s="2621"/>
    </row>
    <row r="149" spans="1:24" s="305" customFormat="1" ht="38.25" customHeight="1">
      <c r="A149" s="2615" t="s">
        <v>1541</v>
      </c>
      <c r="B149" s="2616"/>
      <c r="C149" s="2616"/>
      <c r="D149" s="2617"/>
      <c r="E149" s="2618"/>
      <c r="F149" s="2619"/>
      <c r="G149" s="2619"/>
      <c r="H149" s="2619"/>
      <c r="I149" s="2392" t="s">
        <v>3015</v>
      </c>
      <c r="J149" s="2386" t="s">
        <v>3015</v>
      </c>
      <c r="K149" s="2393" t="s">
        <v>4623</v>
      </c>
      <c r="L149" s="2394"/>
      <c r="M149" s="2395" t="s">
        <v>3012</v>
      </c>
      <c r="N149" s="2620" t="s">
        <v>4690</v>
      </c>
      <c r="O149" s="2619"/>
      <c r="P149" s="2619"/>
      <c r="Q149" s="2619"/>
      <c r="R149" s="2619"/>
      <c r="S149" s="2621"/>
    </row>
    <row r="150" spans="1:24" s="305" customFormat="1" ht="37.5" customHeight="1">
      <c r="A150" s="2622" t="s">
        <v>2920</v>
      </c>
      <c r="B150" s="2623"/>
      <c r="C150" s="2623"/>
      <c r="D150" s="2624"/>
      <c r="E150" s="2625"/>
      <c r="F150" s="2626"/>
      <c r="G150" s="2626"/>
      <c r="H150" s="2626"/>
      <c r="I150" s="2396" t="s">
        <v>3015</v>
      </c>
      <c r="J150" s="2387" t="s">
        <v>3015</v>
      </c>
      <c r="K150" s="2397" t="s">
        <v>4623</v>
      </c>
      <c r="L150" s="2398"/>
      <c r="M150" s="2399" t="s">
        <v>3012</v>
      </c>
      <c r="N150" s="2627" t="s">
        <v>4690</v>
      </c>
      <c r="O150" s="2626"/>
      <c r="P150" s="2626"/>
      <c r="Q150" s="2626"/>
      <c r="R150" s="2626"/>
      <c r="S150" s="2628"/>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29" t="s">
        <v>4713</v>
      </c>
      <c r="B153" s="2630"/>
      <c r="C153" s="2630"/>
      <c r="D153" s="2630"/>
      <c r="E153" s="2630"/>
      <c r="F153" s="2630"/>
      <c r="G153" s="2630"/>
      <c r="H153" s="2630"/>
      <c r="I153" s="2630"/>
      <c r="J153" s="2630"/>
      <c r="K153" s="2630"/>
      <c r="L153" s="2630"/>
      <c r="M153" s="2631"/>
      <c r="N153" s="2632"/>
      <c r="O153" s="2633"/>
      <c r="P153" s="2633"/>
      <c r="Q153" s="2633"/>
      <c r="R153" s="2633"/>
      <c r="S153" s="2634"/>
      <c r="T153" s="2434" t="s">
        <v>2711</v>
      </c>
      <c r="U153" s="2434"/>
      <c r="V153" s="2434"/>
      <c r="W153" s="2434"/>
      <c r="X153" s="2434"/>
    </row>
    <row r="154" spans="1:24" s="305" customFormat="1" ht="12" customHeight="1">
      <c r="A154" s="311"/>
      <c r="B154" s="324"/>
      <c r="C154" s="324"/>
      <c r="D154" s="324"/>
      <c r="E154" s="324"/>
      <c r="F154" s="324"/>
      <c r="G154" s="324"/>
      <c r="H154" s="324"/>
      <c r="I154" s="324"/>
      <c r="J154" s="324"/>
      <c r="K154" s="324"/>
      <c r="L154" s="324"/>
      <c r="M154" s="324"/>
      <c r="N154" s="324"/>
      <c r="O154" s="324"/>
      <c r="T154" s="2434"/>
      <c r="U154" s="2434"/>
      <c r="V154" s="2434"/>
      <c r="W154" s="2434"/>
      <c r="X154" s="2434"/>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400" t="s">
        <v>1812</v>
      </c>
    </row>
    <row r="159" spans="1:24" s="305" customFormat="1" ht="12" customHeight="1">
      <c r="A159" s="348"/>
      <c r="B159" s="324"/>
      <c r="C159" s="324"/>
      <c r="D159" s="324"/>
      <c r="E159" s="324"/>
      <c r="F159" s="324"/>
      <c r="G159" s="324"/>
      <c r="H159" s="324"/>
      <c r="I159" s="324"/>
      <c r="J159" s="324"/>
      <c r="K159" s="324"/>
      <c r="L159" s="324"/>
      <c r="M159" s="324"/>
      <c r="N159" s="324"/>
      <c r="O159" s="324"/>
      <c r="P159" s="2401" t="s">
        <v>846</v>
      </c>
    </row>
    <row r="160" spans="1:24" s="305" customFormat="1" ht="12" customHeight="1">
      <c r="A160" s="348"/>
      <c r="B160" s="324"/>
      <c r="C160" s="324"/>
      <c r="D160" s="324"/>
      <c r="E160" s="324"/>
      <c r="F160" s="324"/>
      <c r="G160" s="324"/>
      <c r="H160" s="324"/>
      <c r="I160" s="324"/>
      <c r="J160" s="324"/>
      <c r="K160" s="324"/>
      <c r="L160" s="324"/>
      <c r="M160" s="324"/>
      <c r="N160" s="324"/>
      <c r="O160" s="324"/>
      <c r="P160" s="2401" t="s">
        <v>847</v>
      </c>
    </row>
    <row r="161" spans="1:16" s="305" customFormat="1" ht="12" customHeight="1">
      <c r="A161" s="348"/>
      <c r="B161" s="324"/>
      <c r="C161" s="324"/>
      <c r="D161" s="324"/>
      <c r="E161" s="324"/>
      <c r="F161" s="324"/>
      <c r="G161" s="324"/>
      <c r="H161" s="324"/>
      <c r="I161" s="324"/>
      <c r="J161" s="324"/>
      <c r="K161" s="324"/>
      <c r="L161" s="324"/>
      <c r="M161" s="324"/>
      <c r="N161" s="324"/>
      <c r="O161" s="324"/>
      <c r="P161" s="2401" t="s">
        <v>848</v>
      </c>
    </row>
    <row r="162" spans="1:16" s="305" customFormat="1" ht="12" customHeight="1">
      <c r="A162" s="501"/>
      <c r="B162" s="324"/>
      <c r="C162" s="324"/>
      <c r="D162" s="324"/>
      <c r="E162" s="324"/>
      <c r="F162" s="324"/>
      <c r="G162" s="324"/>
      <c r="H162" s="324"/>
      <c r="I162" s="324"/>
      <c r="J162" s="324"/>
      <c r="K162" s="324"/>
      <c r="L162" s="324"/>
      <c r="M162" s="324"/>
      <c r="N162" s="324"/>
      <c r="O162" s="324"/>
      <c r="P162" s="2401" t="s">
        <v>849</v>
      </c>
    </row>
    <row r="163" spans="1:16" s="305" customFormat="1" ht="12" customHeight="1">
      <c r="B163" s="324"/>
      <c r="C163" s="324"/>
      <c r="D163" s="324"/>
      <c r="E163" s="324"/>
      <c r="F163" s="324"/>
      <c r="G163" s="324"/>
      <c r="H163" s="324"/>
      <c r="I163" s="324"/>
      <c r="J163" s="324"/>
      <c r="K163" s="324"/>
      <c r="L163" s="324"/>
      <c r="M163" s="324"/>
      <c r="N163" s="324"/>
      <c r="O163" s="324"/>
      <c r="P163" s="2401" t="s">
        <v>850</v>
      </c>
    </row>
    <row r="164" spans="1:16" s="305" customFormat="1" ht="12" customHeight="1">
      <c r="B164" s="324"/>
      <c r="C164" s="324"/>
      <c r="D164" s="324"/>
      <c r="E164" s="324"/>
      <c r="F164" s="324"/>
      <c r="G164" s="324"/>
      <c r="H164" s="324"/>
      <c r="I164" s="324"/>
      <c r="J164" s="324"/>
      <c r="K164" s="324"/>
      <c r="L164" s="324"/>
      <c r="M164" s="324"/>
      <c r="N164" s="324"/>
      <c r="O164" s="324"/>
      <c r="P164" s="2401" t="s">
        <v>851</v>
      </c>
    </row>
    <row r="165" spans="1:16" s="305" customFormat="1" ht="12" customHeight="1">
      <c r="B165" s="324"/>
      <c r="C165" s="324"/>
      <c r="D165" s="324"/>
      <c r="E165" s="324"/>
      <c r="F165" s="324"/>
      <c r="G165" s="324"/>
      <c r="H165" s="324"/>
      <c r="I165" s="324"/>
      <c r="J165" s="324"/>
      <c r="K165" s="324"/>
      <c r="L165" s="324"/>
      <c r="M165" s="324"/>
      <c r="N165" s="324"/>
      <c r="O165" s="324"/>
      <c r="P165" s="2401" t="s">
        <v>852</v>
      </c>
    </row>
    <row r="166" spans="1:16" s="305" customFormat="1" ht="12" customHeight="1">
      <c r="B166" s="324"/>
      <c r="C166" s="324"/>
      <c r="D166" s="324"/>
      <c r="E166" s="324"/>
      <c r="F166" s="324"/>
      <c r="G166" s="324"/>
      <c r="H166" s="324"/>
      <c r="I166" s="324"/>
      <c r="J166" s="324"/>
      <c r="K166" s="324"/>
      <c r="L166" s="324"/>
      <c r="M166" s="324"/>
      <c r="N166" s="324"/>
      <c r="O166" s="324"/>
      <c r="P166" s="2401" t="s">
        <v>853</v>
      </c>
    </row>
    <row r="167" spans="1:16" ht="12" customHeight="1">
      <c r="P167" s="2401" t="s">
        <v>854</v>
      </c>
    </row>
    <row r="168" spans="1:16" ht="12" customHeight="1">
      <c r="A168" s="333"/>
      <c r="P168" s="2401" t="s">
        <v>855</v>
      </c>
    </row>
    <row r="169" spans="1:16" ht="12" customHeight="1">
      <c r="P169" s="2401" t="s">
        <v>856</v>
      </c>
    </row>
    <row r="170" spans="1:16" ht="12" customHeight="1">
      <c r="P170" s="2401" t="s">
        <v>857</v>
      </c>
    </row>
    <row r="171" spans="1:16" ht="12" customHeight="1">
      <c r="P171" s="2401" t="s">
        <v>858</v>
      </c>
    </row>
    <row r="172" spans="1:16" ht="12" customHeight="1">
      <c r="P172" s="2401" t="s">
        <v>859</v>
      </c>
    </row>
    <row r="173" spans="1:16" ht="12" customHeight="1">
      <c r="P173" s="2401" t="s">
        <v>860</v>
      </c>
    </row>
    <row r="174" spans="1:16" ht="12" customHeight="1">
      <c r="P174" s="2401" t="s">
        <v>861</v>
      </c>
    </row>
    <row r="175" spans="1:16" ht="12" customHeight="1">
      <c r="P175" s="2401" t="s">
        <v>862</v>
      </c>
    </row>
    <row r="176" spans="1:16" ht="12" customHeight="1">
      <c r="P176" s="2401" t="s">
        <v>863</v>
      </c>
    </row>
    <row r="177" spans="16:16" ht="12" customHeight="1">
      <c r="P177" s="2401" t="s">
        <v>864</v>
      </c>
    </row>
    <row r="178" spans="16:16" ht="12" customHeight="1">
      <c r="P178" s="2401" t="s">
        <v>865</v>
      </c>
    </row>
    <row r="179" spans="16:16" ht="12" customHeight="1">
      <c r="P179" s="2401" t="s">
        <v>866</v>
      </c>
    </row>
    <row r="180" spans="16:16" ht="12" customHeight="1">
      <c r="P180" s="2401" t="s">
        <v>867</v>
      </c>
    </row>
    <row r="181" spans="16:16" ht="12" customHeight="1">
      <c r="P181" s="2401" t="s">
        <v>868</v>
      </c>
    </row>
    <row r="182" spans="16:16" ht="12" customHeight="1">
      <c r="P182" s="2401" t="s">
        <v>869</v>
      </c>
    </row>
    <row r="183" spans="16:16" ht="12" customHeight="1">
      <c r="P183" s="2401" t="s">
        <v>870</v>
      </c>
    </row>
    <row r="184" spans="16:16" ht="12" customHeight="1">
      <c r="P184" s="2401" t="s">
        <v>1353</v>
      </c>
    </row>
    <row r="185" spans="16:16" ht="12" customHeight="1">
      <c r="P185" s="2401" t="s">
        <v>1354</v>
      </c>
    </row>
    <row r="186" spans="16:16" ht="12" customHeight="1">
      <c r="P186" s="2401" t="s">
        <v>1355</v>
      </c>
    </row>
    <row r="187" spans="16:16" ht="12" customHeight="1">
      <c r="P187" s="2401" t="s">
        <v>1356</v>
      </c>
    </row>
    <row r="188" spans="16:16" ht="12" customHeight="1">
      <c r="P188" s="2401" t="s">
        <v>1357</v>
      </c>
    </row>
    <row r="189" spans="16:16" ht="13.5">
      <c r="P189" s="2401" t="s">
        <v>1358</v>
      </c>
    </row>
    <row r="190" spans="16:16" ht="12" customHeight="1">
      <c r="P190" s="2401" t="s">
        <v>1359</v>
      </c>
    </row>
    <row r="191" spans="16:16" ht="12" customHeight="1">
      <c r="P191" s="2401" t="s">
        <v>1360</v>
      </c>
    </row>
    <row r="192" spans="16:16" ht="12" customHeight="1">
      <c r="P192" s="2401" t="s">
        <v>1361</v>
      </c>
    </row>
    <row r="193" spans="16:16" ht="12" customHeight="1">
      <c r="P193" s="2401" t="s">
        <v>1362</v>
      </c>
    </row>
    <row r="194" spans="16:16" ht="12" customHeight="1">
      <c r="P194" s="2401" t="s">
        <v>1363</v>
      </c>
    </row>
    <row r="195" spans="16:16" ht="12" customHeight="1">
      <c r="P195" s="2401" t="s">
        <v>1364</v>
      </c>
    </row>
    <row r="196" spans="16:16" ht="12" customHeight="1">
      <c r="P196" s="2401" t="s">
        <v>1365</v>
      </c>
    </row>
    <row r="197" spans="16:16" ht="12" customHeight="1">
      <c r="P197" s="2401" t="s">
        <v>1366</v>
      </c>
    </row>
    <row r="198" spans="16:16" ht="12" customHeight="1">
      <c r="P198" s="2401" t="s">
        <v>1367</v>
      </c>
    </row>
    <row r="199" spans="16:16" ht="12" customHeight="1">
      <c r="P199" s="2401" t="s">
        <v>1368</v>
      </c>
    </row>
    <row r="200" spans="16:16" ht="12" customHeight="1">
      <c r="P200" s="2401" t="s">
        <v>1369</v>
      </c>
    </row>
    <row r="201" spans="16:16" ht="12" customHeight="1">
      <c r="P201" s="2401" t="s">
        <v>1370</v>
      </c>
    </row>
    <row r="202" spans="16:16" ht="12" customHeight="1">
      <c r="P202" s="2401" t="s">
        <v>1371</v>
      </c>
    </row>
    <row r="203" spans="16:16" ht="12" customHeight="1">
      <c r="P203" s="2401" t="s">
        <v>1372</v>
      </c>
    </row>
    <row r="204" spans="16:16" ht="12" customHeight="1">
      <c r="P204" s="2401" t="s">
        <v>1373</v>
      </c>
    </row>
    <row r="205" spans="16:16" ht="12" customHeight="1">
      <c r="P205" s="2401" t="s">
        <v>1374</v>
      </c>
    </row>
    <row r="206" spans="16:16" ht="12" customHeight="1">
      <c r="P206" s="2401" t="s">
        <v>1375</v>
      </c>
    </row>
    <row r="207" spans="16:16" ht="12" customHeight="1">
      <c r="P207" s="2401" t="s">
        <v>1376</v>
      </c>
    </row>
    <row r="208" spans="16:16" ht="12" customHeight="1">
      <c r="P208" s="2401" t="s">
        <v>1377</v>
      </c>
    </row>
    <row r="209" spans="16:16" ht="12" customHeight="1">
      <c r="P209" s="2401" t="s">
        <v>1378</v>
      </c>
    </row>
  </sheetData>
  <sheetProtection algorithmName="SHA-512" hashValue="8yDql6aRVza5dAbpZrzLDZiCaY0WzkJpBji9yHBgsea+FqYgqHB93HT2aKoAB+MMCgHek6XG4hW5VUfFtexS1g==" saltValue="mCxrjquR9oK9E3MMdOZc2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145" zoomScaleNormal="145" workbookViewId="0">
      <selection activeCell="A5"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89" t="str">
        <f>CONCATENATE("PART THREE - SOURCES OF FUNDS","  -  ",'Part I-Project Information'!$O$6," ",'Part I-Project Information'!$F$34,", ",'Part I-Project Information'!$F$38,", ",'Part I-Project Information'!$J$39," County")</f>
        <v>PART THREE - SOURCES OF FUNDS  -  2018-021 Grayling Place, Columbus, Muscogee County</v>
      </c>
      <c r="B1" s="2690"/>
      <c r="C1" s="2690"/>
      <c r="D1" s="2690"/>
      <c r="E1" s="2690"/>
      <c r="F1" s="2690"/>
      <c r="G1" s="2690"/>
      <c r="H1" s="2690"/>
      <c r="I1" s="2690"/>
      <c r="J1" s="2690"/>
      <c r="K1" s="2690"/>
      <c r="L1" s="2690"/>
      <c r="M1" s="2690"/>
      <c r="N1" s="2690"/>
      <c r="O1" s="2690"/>
      <c r="P1" s="2690"/>
      <c r="Q1" s="2691"/>
      <c r="S1" s="2815" t="str">
        <f>$A$1</f>
        <v>PART THREE - SOURCES OF FUNDS  -  2018-021 Grayling Place, Columbus, Muscogee County</v>
      </c>
      <c r="T1" s="2815"/>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6"/>
      <c r="E3" s="1566"/>
      <c r="F3" s="1566"/>
      <c r="G3" s="1566"/>
      <c r="J3" s="1566"/>
      <c r="P3" s="1555" t="s">
        <v>4551</v>
      </c>
      <c r="S3" s="355" t="str">
        <f>B3</f>
        <v>GOVERNMENT FUNDING SOURCES  (check all that apply)</v>
      </c>
    </row>
    <row r="4" spans="1:20" s="278" customFormat="1" ht="15.75" customHeight="1">
      <c r="A4" s="333"/>
      <c r="B4" s="501"/>
      <c r="C4" s="327"/>
      <c r="D4" s="1566"/>
      <c r="E4" s="1566"/>
      <c r="F4" s="1566"/>
      <c r="G4" s="1566"/>
      <c r="S4" s="2773" t="s">
        <v>2701</v>
      </c>
      <c r="T4" s="2773"/>
    </row>
    <row r="5" spans="1:20" s="278" customFormat="1" ht="16.5" customHeight="1">
      <c r="A5" s="501"/>
      <c r="B5" s="2361" t="s">
        <v>3012</v>
      </c>
      <c r="C5" s="1557" t="s">
        <v>2427</v>
      </c>
      <c r="D5" s="305"/>
      <c r="H5" s="2361" t="s">
        <v>3015</v>
      </c>
      <c r="I5" s="1557" t="s">
        <v>1549</v>
      </c>
      <c r="L5" s="2361" t="s">
        <v>3015</v>
      </c>
      <c r="M5" s="305" t="s">
        <v>3921</v>
      </c>
      <c r="S5" s="2733"/>
      <c r="T5" s="2734"/>
    </row>
    <row r="6" spans="1:20" s="278" customFormat="1" ht="16.5" customHeight="1">
      <c r="A6" s="501"/>
      <c r="B6" s="2362" t="s">
        <v>3015</v>
      </c>
      <c r="C6" s="1557" t="s">
        <v>555</v>
      </c>
      <c r="D6" s="305"/>
      <c r="H6" s="2361" t="s">
        <v>3015</v>
      </c>
      <c r="I6" s="1557" t="s">
        <v>554</v>
      </c>
      <c r="L6" s="2361" t="s">
        <v>3015</v>
      </c>
      <c r="M6" s="1557" t="s">
        <v>2619</v>
      </c>
      <c r="S6" s="2717"/>
      <c r="T6" s="2718"/>
    </row>
    <row r="7" spans="1:20" s="278" customFormat="1" ht="16.5" customHeight="1">
      <c r="A7" s="305"/>
      <c r="B7" s="2362" t="s">
        <v>3015</v>
      </c>
      <c r="C7" s="1557" t="s">
        <v>3918</v>
      </c>
      <c r="F7" s="2816"/>
      <c r="G7" s="2817"/>
      <c r="H7" s="2361" t="s">
        <v>3015</v>
      </c>
      <c r="I7" s="1557" t="s">
        <v>3707</v>
      </c>
      <c r="L7" s="2361" t="s">
        <v>3015</v>
      </c>
      <c r="M7" s="1557" t="s">
        <v>2620</v>
      </c>
      <c r="S7" s="2717"/>
      <c r="T7" s="2718"/>
    </row>
    <row r="8" spans="1:20" s="278" customFormat="1" ht="16.5" customHeight="1">
      <c r="A8" s="501"/>
      <c r="B8" s="2362" t="s">
        <v>3015</v>
      </c>
      <c r="C8" s="1557" t="s">
        <v>1816</v>
      </c>
      <c r="D8" s="305"/>
      <c r="H8" s="2361" t="s">
        <v>3015</v>
      </c>
      <c r="I8" s="305" t="s">
        <v>2628</v>
      </c>
      <c r="L8" s="2361" t="s">
        <v>3015</v>
      </c>
      <c r="M8" s="310" t="s">
        <v>3712</v>
      </c>
      <c r="S8" s="2719"/>
      <c r="T8" s="2720"/>
    </row>
    <row r="9" spans="1:20" s="278" customFormat="1" ht="16.5" customHeight="1">
      <c r="A9" s="501"/>
      <c r="B9" s="2362" t="s">
        <v>3015</v>
      </c>
      <c r="C9" s="1557" t="s">
        <v>556</v>
      </c>
      <c r="H9" s="2361" t="s">
        <v>3015</v>
      </c>
      <c r="I9" s="305" t="s">
        <v>2626</v>
      </c>
      <c r="L9" s="2361" t="s">
        <v>3015</v>
      </c>
      <c r="M9" s="310" t="s">
        <v>2627</v>
      </c>
      <c r="S9" s="2733"/>
      <c r="T9" s="2734"/>
    </row>
    <row r="10" spans="1:20" s="278" customFormat="1" ht="16.5" customHeight="1">
      <c r="A10" s="501"/>
      <c r="B10" s="2362" t="s">
        <v>3015</v>
      </c>
      <c r="C10" s="310" t="s">
        <v>3919</v>
      </c>
      <c r="G10" s="649"/>
      <c r="H10" s="2361" t="s">
        <v>3015</v>
      </c>
      <c r="I10" s="305" t="s">
        <v>3748</v>
      </c>
      <c r="J10" s="1035"/>
      <c r="K10" s="1035"/>
      <c r="L10" s="2361" t="s">
        <v>3015</v>
      </c>
      <c r="M10" s="310" t="s">
        <v>3750</v>
      </c>
      <c r="O10" s="2808" t="s">
        <v>3903</v>
      </c>
      <c r="P10" s="2809"/>
      <c r="Q10" s="2810"/>
      <c r="S10" s="2717"/>
      <c r="T10" s="2718"/>
    </row>
    <row r="11" spans="1:20" s="278" customFormat="1" ht="16.5" customHeight="1">
      <c r="A11" s="501"/>
      <c r="B11" s="2362" t="s">
        <v>3015</v>
      </c>
      <c r="C11" s="1557" t="s">
        <v>3751</v>
      </c>
      <c r="D11" s="305"/>
      <c r="E11" s="2818"/>
      <c r="F11" s="2819"/>
      <c r="H11" s="2361" t="s">
        <v>3015</v>
      </c>
      <c r="I11" s="305" t="s">
        <v>3753</v>
      </c>
      <c r="L11" s="2361" t="s">
        <v>3015</v>
      </c>
      <c r="M11" s="305" t="s">
        <v>3646</v>
      </c>
      <c r="S11" s="2717"/>
      <c r="T11" s="2718"/>
    </row>
    <row r="12" spans="1:20" s="278" customFormat="1" ht="16.5" customHeight="1">
      <c r="A12" s="501"/>
      <c r="B12" s="2362" t="s">
        <v>3015</v>
      </c>
      <c r="C12" s="1557" t="s">
        <v>3752</v>
      </c>
      <c r="E12" s="2820"/>
      <c r="F12" s="2821"/>
      <c r="H12" s="2361" t="s">
        <v>3015</v>
      </c>
      <c r="I12" s="521" t="s">
        <v>2816</v>
      </c>
      <c r="J12" s="521"/>
      <c r="K12" s="521"/>
      <c r="L12" s="2361" t="s">
        <v>3015</v>
      </c>
      <c r="M12" s="2822" t="s">
        <v>3714</v>
      </c>
      <c r="N12" s="2502"/>
      <c r="O12" s="2502"/>
      <c r="P12" s="2502"/>
      <c r="Q12" s="2503"/>
      <c r="S12" s="2719"/>
      <c r="T12" s="2720"/>
    </row>
    <row r="13" spans="1:20" s="278" customFormat="1" ht="16.5" customHeight="1">
      <c r="A13" s="501"/>
      <c r="C13" s="278" t="s">
        <v>3749</v>
      </c>
      <c r="E13" s="2808" t="s">
        <v>3473</v>
      </c>
      <c r="F13" s="2809"/>
      <c r="G13" s="2810"/>
      <c r="H13" s="2361" t="s">
        <v>3015</v>
      </c>
      <c r="I13" s="310" t="s">
        <v>3920</v>
      </c>
      <c r="J13" s="521"/>
      <c r="K13" s="521"/>
      <c r="M13" s="2811" t="s">
        <v>3725</v>
      </c>
      <c r="N13" s="2812"/>
      <c r="O13" s="2812"/>
      <c r="P13" s="2812"/>
      <c r="Q13" s="2813"/>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66"/>
      <c r="E16" s="305"/>
      <c r="F16" s="305"/>
      <c r="G16" s="305"/>
      <c r="H16" s="278"/>
      <c r="L16" s="305"/>
      <c r="M16" s="1566"/>
      <c r="N16" s="2457"/>
      <c r="O16" s="2457"/>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1886</v>
      </c>
      <c r="C18" s="305"/>
      <c r="D18" s="305"/>
      <c r="E18" s="305"/>
      <c r="F18" s="305"/>
      <c r="G18" s="305"/>
      <c r="H18" s="2814" t="s">
        <v>1309</v>
      </c>
      <c r="I18" s="2814"/>
      <c r="J18" s="2814"/>
      <c r="K18" s="2814"/>
      <c r="L18" s="2572" t="s">
        <v>2007</v>
      </c>
      <c r="M18" s="2572"/>
      <c r="N18" s="2572" t="s">
        <v>1519</v>
      </c>
      <c r="O18" s="2572"/>
      <c r="P18" s="2572" t="s">
        <v>1643</v>
      </c>
      <c r="Q18" s="2572"/>
      <c r="S18" s="2773" t="s">
        <v>2701</v>
      </c>
      <c r="T18" s="2773"/>
    </row>
    <row r="19" spans="1:20" s="278" customFormat="1" ht="16.5" customHeight="1">
      <c r="A19" s="305"/>
      <c r="B19" s="2775" t="s">
        <v>1603</v>
      </c>
      <c r="C19" s="2776"/>
      <c r="D19" s="2776"/>
      <c r="E19" s="1572"/>
      <c r="F19" s="1572"/>
      <c r="G19" s="1572"/>
      <c r="H19" s="2728" t="s">
        <v>4689</v>
      </c>
      <c r="I19" s="2729"/>
      <c r="J19" s="2729"/>
      <c r="K19" s="2730"/>
      <c r="L19" s="2797">
        <v>11644384</v>
      </c>
      <c r="M19" s="2798"/>
      <c r="N19" s="2799">
        <v>4.9099999999999998E-2</v>
      </c>
      <c r="O19" s="2800"/>
      <c r="P19" s="2801">
        <v>24</v>
      </c>
      <c r="Q19" s="2802"/>
      <c r="S19" s="2733"/>
      <c r="T19" s="2734"/>
    </row>
    <row r="20" spans="1:20" s="278" customFormat="1" ht="16.5" customHeight="1">
      <c r="A20" s="305"/>
      <c r="B20" s="2735" t="s">
        <v>1604</v>
      </c>
      <c r="C20" s="2736"/>
      <c r="D20" s="2736"/>
      <c r="E20" s="1566"/>
      <c r="F20" s="1566"/>
      <c r="G20" s="1566"/>
      <c r="H20" s="2701"/>
      <c r="I20" s="2702"/>
      <c r="J20" s="2702"/>
      <c r="K20" s="2703"/>
      <c r="L20" s="2767"/>
      <c r="M20" s="2768"/>
      <c r="N20" s="2787"/>
      <c r="O20" s="2788"/>
      <c r="P20" s="2789"/>
      <c r="Q20" s="2790"/>
      <c r="S20" s="2717"/>
      <c r="T20" s="2718"/>
    </row>
    <row r="21" spans="1:20" s="278" customFormat="1" ht="16.5" customHeight="1">
      <c r="A21" s="305"/>
      <c r="B21" s="2791" t="s">
        <v>1605</v>
      </c>
      <c r="C21" s="2792"/>
      <c r="D21" s="2792"/>
      <c r="E21" s="1574"/>
      <c r="F21" s="1574"/>
      <c r="G21" s="1574"/>
      <c r="H21" s="2707"/>
      <c r="I21" s="2708"/>
      <c r="J21" s="2708"/>
      <c r="K21" s="2709"/>
      <c r="L21" s="2779"/>
      <c r="M21" s="2780"/>
      <c r="N21" s="2793"/>
      <c r="O21" s="2794"/>
      <c r="P21" s="2795"/>
      <c r="Q21" s="2796"/>
      <c r="S21" s="2717"/>
      <c r="T21" s="2718"/>
    </row>
    <row r="22" spans="1:20" s="278" customFormat="1" ht="16.5" customHeight="1">
      <c r="A22" s="305"/>
      <c r="B22" s="2775" t="s">
        <v>2232</v>
      </c>
      <c r="C22" s="2776"/>
      <c r="D22" s="2776"/>
      <c r="E22" s="1566"/>
      <c r="F22" s="1566"/>
      <c r="G22" s="1566"/>
      <c r="H22" s="2803"/>
      <c r="I22" s="2804"/>
      <c r="J22" s="2804"/>
      <c r="K22" s="2805"/>
      <c r="L22" s="2806"/>
      <c r="M22" s="2807"/>
      <c r="N22" s="2777"/>
      <c r="O22" s="2778"/>
      <c r="P22" s="2770"/>
      <c r="Q22" s="2770"/>
      <c r="S22" s="2717"/>
      <c r="T22" s="2718"/>
    </row>
    <row r="23" spans="1:20" s="278" customFormat="1" ht="16.5" customHeight="1">
      <c r="A23" s="305"/>
      <c r="B23" s="2735" t="s">
        <v>809</v>
      </c>
      <c r="C23" s="2736"/>
      <c r="D23" s="2736"/>
      <c r="E23" s="1566"/>
      <c r="H23" s="2701"/>
      <c r="I23" s="2702"/>
      <c r="J23" s="2702"/>
      <c r="K23" s="2703"/>
      <c r="L23" s="2767"/>
      <c r="M23" s="2768"/>
      <c r="N23" s="2777"/>
      <c r="O23" s="2778"/>
      <c r="P23" s="2770"/>
      <c r="Q23" s="2770"/>
      <c r="S23" s="2717"/>
      <c r="T23" s="2718"/>
    </row>
    <row r="24" spans="1:20" s="278" customFormat="1" ht="16.5" customHeight="1">
      <c r="A24" s="305"/>
      <c r="B24" s="2735" t="s">
        <v>647</v>
      </c>
      <c r="C24" s="2736"/>
      <c r="D24" s="2736"/>
      <c r="E24" s="1566"/>
      <c r="H24" s="2701"/>
      <c r="I24" s="2702"/>
      <c r="J24" s="2702"/>
      <c r="K24" s="2703"/>
      <c r="L24" s="2767"/>
      <c r="M24" s="2768"/>
      <c r="N24" s="2777"/>
      <c r="O24" s="2778"/>
      <c r="P24" s="2770"/>
      <c r="Q24" s="2770"/>
      <c r="S24" s="2717"/>
      <c r="T24" s="2718"/>
    </row>
    <row r="25" spans="1:20" s="278" customFormat="1" ht="16.5" customHeight="1">
      <c r="A25" s="305"/>
      <c r="B25" s="2735" t="s">
        <v>810</v>
      </c>
      <c r="C25" s="2736"/>
      <c r="D25" s="2736"/>
      <c r="E25" s="1566"/>
      <c r="H25" s="2701" t="s">
        <v>4688</v>
      </c>
      <c r="I25" s="2702"/>
      <c r="J25" s="2702"/>
      <c r="K25" s="2703"/>
      <c r="L25" s="2767">
        <v>1608630</v>
      </c>
      <c r="M25" s="2768"/>
      <c r="N25" s="305"/>
      <c r="O25" s="305"/>
      <c r="P25" s="305"/>
      <c r="Q25" s="305"/>
      <c r="S25" s="2719"/>
      <c r="T25" s="2720"/>
    </row>
    <row r="26" spans="1:20" s="278" customFormat="1" ht="16.5" customHeight="1">
      <c r="A26" s="305"/>
      <c r="B26" s="2735" t="s">
        <v>811</v>
      </c>
      <c r="C26" s="2736"/>
      <c r="D26" s="2736"/>
      <c r="E26" s="1566"/>
      <c r="H26" s="2701" t="s">
        <v>4711</v>
      </c>
      <c r="I26" s="2702"/>
      <c r="J26" s="2702"/>
      <c r="K26" s="2703"/>
      <c r="L26" s="2767">
        <v>939571</v>
      </c>
      <c r="M26" s="2768"/>
      <c r="N26" s="305"/>
      <c r="Q26" s="305"/>
      <c r="S26" s="2733"/>
      <c r="T26" s="2734"/>
    </row>
    <row r="27" spans="1:20" s="278" customFormat="1" ht="16.5" customHeight="1">
      <c r="A27" s="305"/>
      <c r="B27" s="1565" t="s">
        <v>244</v>
      </c>
      <c r="C27" s="1566"/>
      <c r="D27" s="2721"/>
      <c r="E27" s="2721"/>
      <c r="F27" s="2721"/>
      <c r="G27" s="2721"/>
      <c r="H27" s="2701"/>
      <c r="I27" s="2702"/>
      <c r="J27" s="2702"/>
      <c r="K27" s="2703"/>
      <c r="L27" s="2767"/>
      <c r="M27" s="2768"/>
      <c r="N27" s="305"/>
      <c r="Q27" s="305"/>
      <c r="S27" s="2717"/>
      <c r="T27" s="2718"/>
    </row>
    <row r="28" spans="1:20" s="278" customFormat="1" ht="16.5" customHeight="1">
      <c r="A28" s="305"/>
      <c r="B28" s="1565" t="s">
        <v>244</v>
      </c>
      <c r="C28" s="1566"/>
      <c r="D28" s="2722"/>
      <c r="E28" s="2722"/>
      <c r="F28" s="2722"/>
      <c r="G28" s="2722"/>
      <c r="H28" s="2701"/>
      <c r="I28" s="2702"/>
      <c r="J28" s="2702"/>
      <c r="K28" s="2703"/>
      <c r="L28" s="2767"/>
      <c r="M28" s="2768"/>
      <c r="N28" s="305"/>
      <c r="S28" s="2717"/>
      <c r="T28" s="2718"/>
    </row>
    <row r="29" spans="1:20" s="278" customFormat="1" ht="16.5" customHeight="1">
      <c r="A29" s="305"/>
      <c r="B29" s="1573" t="s">
        <v>244</v>
      </c>
      <c r="C29" s="1574"/>
      <c r="D29" s="2706"/>
      <c r="E29" s="2706"/>
      <c r="F29" s="2706"/>
      <c r="G29" s="2706"/>
      <c r="H29" s="2707"/>
      <c r="I29" s="2708"/>
      <c r="J29" s="2708"/>
      <c r="K29" s="2709"/>
      <c r="L29" s="2779"/>
      <c r="M29" s="2780"/>
      <c r="N29" s="305"/>
      <c r="S29" s="2717"/>
      <c r="T29" s="2718"/>
    </row>
    <row r="30" spans="1:20" s="278" customFormat="1" ht="16.5" customHeight="1">
      <c r="A30" s="305"/>
      <c r="B30" s="277" t="s">
        <v>1310</v>
      </c>
      <c r="C30" s="305"/>
      <c r="D30" s="305"/>
      <c r="E30" s="305"/>
      <c r="F30" s="305"/>
      <c r="G30" s="305"/>
      <c r="H30" s="305"/>
      <c r="I30" s="305"/>
      <c r="L30" s="2781">
        <f>SUM(L19:L29)</f>
        <v>14192585</v>
      </c>
      <c r="M30" s="2782"/>
      <c r="N30" s="324"/>
      <c r="S30" s="2717"/>
      <c r="T30" s="2718"/>
    </row>
    <row r="31" spans="1:20" s="278" customFormat="1" ht="16.5" customHeight="1">
      <c r="A31" s="305"/>
      <c r="B31" s="1557" t="s">
        <v>1311</v>
      </c>
      <c r="C31" s="305"/>
      <c r="D31" s="305"/>
      <c r="E31" s="305"/>
      <c r="F31" s="305"/>
      <c r="G31" s="305"/>
      <c r="H31" s="305"/>
      <c r="I31" s="305"/>
      <c r="L31" s="278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14192585</v>
      </c>
      <c r="M31" s="2784"/>
      <c r="N31" s="900"/>
      <c r="S31" s="2717"/>
      <c r="T31" s="2718"/>
    </row>
    <row r="32" spans="1:20" s="278" customFormat="1" ht="16.5" customHeight="1">
      <c r="A32" s="305"/>
      <c r="B32" s="310" t="s">
        <v>2174</v>
      </c>
      <c r="C32" s="305"/>
      <c r="D32" s="305"/>
      <c r="E32" s="305"/>
      <c r="F32" s="305"/>
      <c r="G32" s="305"/>
      <c r="H32" s="305"/>
      <c r="I32" s="305"/>
      <c r="L32" s="2785">
        <f>L30-L31</f>
        <v>0</v>
      </c>
      <c r="M32" s="2786"/>
      <c r="N32" s="900"/>
      <c r="S32" s="2719"/>
      <c r="T32" s="2720"/>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2770"/>
      <c r="I35" s="2770"/>
      <c r="K35" s="381" t="s">
        <v>2116</v>
      </c>
      <c r="L35" s="1569" t="s">
        <v>1307</v>
      </c>
      <c r="M35" s="1569" t="s">
        <v>1312</v>
      </c>
      <c r="N35" s="2771" t="s">
        <v>35</v>
      </c>
      <c r="O35" s="2771"/>
      <c r="P35" s="1569"/>
      <c r="Q35" s="307"/>
      <c r="S35" s="355"/>
    </row>
    <row r="36" spans="1:20" s="278" customFormat="1" ht="13.15" customHeight="1">
      <c r="A36" s="305"/>
      <c r="B36" s="1575" t="s">
        <v>1886</v>
      </c>
      <c r="C36" s="1574"/>
      <c r="D36" s="1574"/>
      <c r="E36" s="2439" t="s">
        <v>1309</v>
      </c>
      <c r="F36" s="2439"/>
      <c r="G36" s="2439"/>
      <c r="H36" s="2439"/>
      <c r="I36" s="2572" t="s">
        <v>493</v>
      </c>
      <c r="J36" s="2572"/>
      <c r="K36" s="1563" t="s">
        <v>1819</v>
      </c>
      <c r="L36" s="1563" t="s">
        <v>2231</v>
      </c>
      <c r="M36" s="1563" t="s">
        <v>2231</v>
      </c>
      <c r="N36" s="2772"/>
      <c r="O36" s="2772"/>
      <c r="P36" s="2572" t="s">
        <v>75</v>
      </c>
      <c r="Q36" s="2572"/>
      <c r="S36" s="2773" t="s">
        <v>2701</v>
      </c>
      <c r="T36" s="2773"/>
    </row>
    <row r="37" spans="1:20" s="278" customFormat="1" ht="14.25" customHeight="1">
      <c r="A37" s="305"/>
      <c r="B37" s="2775" t="s">
        <v>2632</v>
      </c>
      <c r="C37" s="2776"/>
      <c r="D37" s="2776"/>
      <c r="E37" s="2728" t="s">
        <v>4691</v>
      </c>
      <c r="F37" s="2729"/>
      <c r="G37" s="2729"/>
      <c r="H37" s="2730"/>
      <c r="I37" s="2758">
        <v>3000000</v>
      </c>
      <c r="J37" s="2759"/>
      <c r="K37" s="2363">
        <v>5.5E-2</v>
      </c>
      <c r="L37" s="2361">
        <v>15</v>
      </c>
      <c r="M37" s="2361">
        <v>35</v>
      </c>
      <c r="N37" s="2760">
        <f t="shared" ref="N37:N41" si="0">IF(OR(I37&lt;=0,I37=""),"",IF(P37="Amortizing",-PMT(K37/12,M37*12,I37,0,0)*12,""))</f>
        <v>193325.86052013887</v>
      </c>
      <c r="O37" s="2760"/>
      <c r="P37" s="2743" t="s">
        <v>4654</v>
      </c>
      <c r="Q37" s="2743"/>
      <c r="S37" s="2733"/>
      <c r="T37" s="2734"/>
    </row>
    <row r="38" spans="1:20" s="278" customFormat="1" ht="14.25" customHeight="1">
      <c r="A38" s="305"/>
      <c r="B38" s="2735" t="s">
        <v>2633</v>
      </c>
      <c r="C38" s="2736"/>
      <c r="D38" s="2736"/>
      <c r="E38" s="2701"/>
      <c r="F38" s="2702"/>
      <c r="G38" s="2702"/>
      <c r="H38" s="2703"/>
      <c r="I38" s="2704"/>
      <c r="J38" s="2738"/>
      <c r="K38" s="2364"/>
      <c r="L38" s="2362"/>
      <c r="M38" s="2362"/>
      <c r="N38" s="2769" t="str">
        <f t="shared" si="0"/>
        <v/>
      </c>
      <c r="O38" s="2769"/>
      <c r="P38" s="2774"/>
      <c r="Q38" s="2774"/>
      <c r="S38" s="2717"/>
      <c r="T38" s="2718"/>
    </row>
    <row r="39" spans="1:20" s="278" customFormat="1" ht="14.25" customHeight="1">
      <c r="A39" s="305"/>
      <c r="B39" s="2735" t="s">
        <v>2634</v>
      </c>
      <c r="C39" s="2736"/>
      <c r="D39" s="2736"/>
      <c r="E39" s="2701"/>
      <c r="F39" s="2702"/>
      <c r="G39" s="2702"/>
      <c r="H39" s="2703"/>
      <c r="I39" s="2704"/>
      <c r="J39" s="2738"/>
      <c r="K39" s="2364"/>
      <c r="L39" s="2362"/>
      <c r="M39" s="2362"/>
      <c r="N39" s="2769" t="str">
        <f t="shared" si="0"/>
        <v/>
      </c>
      <c r="O39" s="2769"/>
      <c r="P39" s="2774"/>
      <c r="Q39" s="2774"/>
      <c r="S39" s="2717"/>
      <c r="T39" s="2718"/>
    </row>
    <row r="40" spans="1:20" s="278" customFormat="1" ht="14.25" customHeight="1">
      <c r="A40" s="305"/>
      <c r="B40" s="1565" t="s">
        <v>749</v>
      </c>
      <c r="C40" s="2752"/>
      <c r="D40" s="2753"/>
      <c r="E40" s="2701"/>
      <c r="F40" s="2702"/>
      <c r="G40" s="2702"/>
      <c r="H40" s="2703"/>
      <c r="I40" s="2704"/>
      <c r="J40" s="2738"/>
      <c r="K40" s="2365"/>
      <c r="L40" s="2366"/>
      <c r="M40" s="2366"/>
      <c r="N40" s="2754" t="str">
        <f t="shared" si="0"/>
        <v/>
      </c>
      <c r="O40" s="2754"/>
      <c r="P40" s="2755"/>
      <c r="Q40" s="2755"/>
      <c r="S40" s="2717"/>
      <c r="T40" s="2718"/>
    </row>
    <row r="41" spans="1:20" s="278" customFormat="1" ht="14.25" customHeight="1">
      <c r="A41" s="305"/>
      <c r="B41" s="1565" t="s">
        <v>2769</v>
      </c>
      <c r="C41" s="1566"/>
      <c r="D41" s="1567"/>
      <c r="E41" s="2701"/>
      <c r="F41" s="2702"/>
      <c r="G41" s="2702"/>
      <c r="H41" s="2703"/>
      <c r="I41" s="2704"/>
      <c r="J41" s="2738"/>
      <c r="K41" s="480"/>
      <c r="L41" s="1568"/>
      <c r="M41" s="1568"/>
      <c r="N41" s="2756" t="str">
        <f t="shared" si="0"/>
        <v/>
      </c>
      <c r="O41" s="2756"/>
      <c r="P41" s="2757"/>
      <c r="Q41" s="2757"/>
      <c r="S41" s="2717"/>
      <c r="T41" s="2718"/>
    </row>
    <row r="42" spans="1:20" s="278" customFormat="1" ht="14.25" customHeight="1">
      <c r="A42" s="305"/>
      <c r="B42" s="1573" t="s">
        <v>230</v>
      </c>
      <c r="C42" s="1574"/>
      <c r="D42" s="382">
        <f>IF(OR(I42="",I42=0,'Part IV-A-Uses of Funds'!$G$118="",'Part IV-A-Uses of Funds'!$G$118=0),"",I42/'Part IV-A-Uses of Funds'!$G$118)</f>
        <v>0.22063272727272729</v>
      </c>
      <c r="E42" s="2707" t="s">
        <v>4655</v>
      </c>
      <c r="F42" s="2708"/>
      <c r="G42" s="2708"/>
      <c r="H42" s="2709"/>
      <c r="I42" s="2744">
        <v>364044</v>
      </c>
      <c r="J42" s="2745"/>
      <c r="K42" s="2367">
        <v>0.05</v>
      </c>
      <c r="L42" s="2368">
        <v>14</v>
      </c>
      <c r="M42" s="2368">
        <v>14</v>
      </c>
      <c r="N42" s="2746">
        <v>35237</v>
      </c>
      <c r="O42" s="2747"/>
      <c r="P42" s="2748" t="s">
        <v>4654</v>
      </c>
      <c r="Q42" s="2749"/>
      <c r="S42" s="2717"/>
      <c r="T42" s="2718"/>
    </row>
    <row r="43" spans="1:20" s="278" customFormat="1" ht="3" customHeight="1">
      <c r="A43" s="305"/>
      <c r="B43" s="305"/>
      <c r="C43" s="305"/>
      <c r="D43" s="305"/>
      <c r="E43" s="305"/>
      <c r="F43" s="305"/>
      <c r="G43" s="305"/>
      <c r="H43" s="305"/>
      <c r="I43" s="1616"/>
      <c r="J43" s="2369"/>
      <c r="K43" s="1615"/>
      <c r="L43" s="1569"/>
      <c r="M43" s="1569"/>
      <c r="N43" s="1617"/>
      <c r="O43" s="1617"/>
      <c r="P43" s="1569"/>
      <c r="Q43" s="1569"/>
      <c r="S43" s="2370"/>
      <c r="T43" s="2371"/>
    </row>
    <row r="44" spans="1:20" s="278" customFormat="1" ht="14.25" customHeight="1">
      <c r="A44" s="305"/>
      <c r="B44" s="1165" t="s">
        <v>4237</v>
      </c>
      <c r="C44" s="1566"/>
      <c r="E44" s="278" t="s">
        <v>4133</v>
      </c>
      <c r="F44" s="2750">
        <f>IF(OR($I$42="",$I$42=0,'Part VII-Pro Forma'!$S$33=0,'Part VII-Pro Forma'!$S$33=""),"",VLOOKUP($L$42,'Part VII-Pro Forma'!$Q$19:$S$38,3))</f>
        <v>595123.82730829413</v>
      </c>
      <c r="G44" s="2751"/>
      <c r="H44" s="649" t="s">
        <v>4236</v>
      </c>
      <c r="I44" s="2765">
        <f>IF(OR($I$42="",$I$42=0,'Part VII-Pro Forma'!$R$33=0,'Part VII-Pro Forma'!$R$33=""),"",VLOOKUP($L$42,'Part VII-Pro Forma'!$Q$19:$S$33,2))</f>
        <v>493318</v>
      </c>
      <c r="J44" s="2766"/>
      <c r="K44" s="2372"/>
      <c r="L44" s="1569"/>
      <c r="M44" s="1569"/>
      <c r="N44" s="1617"/>
      <c r="O44" s="1617"/>
      <c r="P44" s="1569"/>
      <c r="Q44" s="1569"/>
      <c r="S44" s="2370"/>
      <c r="T44" s="2371"/>
    </row>
    <row r="45" spans="1:20" s="278" customFormat="1" ht="14.25" customHeight="1">
      <c r="A45" s="305"/>
      <c r="B45" s="1165" t="s">
        <v>4295</v>
      </c>
      <c r="C45" s="1566"/>
      <c r="D45" s="1166"/>
      <c r="F45" s="2761">
        <v>0.97</v>
      </c>
      <c r="G45" s="2762"/>
      <c r="H45" s="649" t="s">
        <v>4238</v>
      </c>
      <c r="I45" s="2763">
        <f>IF(OR($F$44 = 0,$F$44 =""),"",$I$44/$F$44)</f>
        <v>0.8289333704403079</v>
      </c>
      <c r="J45" s="2764"/>
      <c r="K45" s="1615"/>
      <c r="L45" s="1569"/>
      <c r="M45" s="1569"/>
      <c r="N45" s="1617"/>
      <c r="O45" s="1617"/>
      <c r="P45" s="1569"/>
      <c r="Q45" s="1569"/>
      <c r="S45" s="2370"/>
      <c r="T45" s="2371"/>
    </row>
    <row r="46" spans="1:20" s="278" customFormat="1" ht="3" customHeight="1">
      <c r="A46" s="305"/>
      <c r="B46" s="305"/>
      <c r="C46" s="305"/>
      <c r="D46" s="305"/>
      <c r="E46" s="305"/>
      <c r="F46" s="305"/>
      <c r="G46" s="305"/>
      <c r="H46" s="305"/>
      <c r="I46" s="2373"/>
      <c r="J46" s="2374"/>
      <c r="K46" s="1615"/>
      <c r="L46" s="1569"/>
      <c r="M46" s="1569"/>
      <c r="N46" s="1617"/>
      <c r="O46" s="1617"/>
      <c r="P46" s="1569"/>
      <c r="Q46" s="1569"/>
      <c r="S46" s="2370"/>
      <c r="T46" s="2371"/>
    </row>
    <row r="47" spans="1:20" s="278" customFormat="1" ht="14.25" customHeight="1">
      <c r="A47" s="305"/>
      <c r="B47" s="2725" t="s">
        <v>2232</v>
      </c>
      <c r="C47" s="2726"/>
      <c r="D47" s="2727"/>
      <c r="E47" s="2728"/>
      <c r="F47" s="2729"/>
      <c r="G47" s="2729"/>
      <c r="H47" s="2730"/>
      <c r="I47" s="2731"/>
      <c r="J47" s="2732"/>
      <c r="K47" s="383"/>
      <c r="L47" s="383"/>
      <c r="M47" s="383"/>
      <c r="N47" s="383"/>
      <c r="O47" s="383"/>
      <c r="P47" s="383"/>
      <c r="Q47" s="383"/>
      <c r="S47" s="2733"/>
      <c r="T47" s="2734"/>
    </row>
    <row r="48" spans="1:20" s="278" customFormat="1" ht="14.25" customHeight="1">
      <c r="A48" s="305"/>
      <c r="B48" s="2735" t="s">
        <v>809</v>
      </c>
      <c r="C48" s="2736"/>
      <c r="D48" s="2737"/>
      <c r="E48" s="2701"/>
      <c r="F48" s="2702"/>
      <c r="G48" s="2702"/>
      <c r="H48" s="2703"/>
      <c r="I48" s="2704"/>
      <c r="J48" s="2738"/>
      <c r="L48" s="2739" t="s">
        <v>522</v>
      </c>
      <c r="M48" s="2739"/>
      <c r="N48" s="2740" t="s">
        <v>523</v>
      </c>
      <c r="O48" s="2740"/>
      <c r="P48" s="413" t="s">
        <v>521</v>
      </c>
      <c r="Q48" s="383"/>
      <c r="S48" s="2717"/>
      <c r="T48" s="2718"/>
    </row>
    <row r="49" spans="1:23" s="278" customFormat="1" ht="14.25" customHeight="1">
      <c r="A49" s="305"/>
      <c r="B49" s="2735" t="s">
        <v>810</v>
      </c>
      <c r="C49" s="2736"/>
      <c r="D49" s="2737"/>
      <c r="E49" s="2701" t="s">
        <v>4689</v>
      </c>
      <c r="F49" s="2702"/>
      <c r="G49" s="2702"/>
      <c r="H49" s="2703"/>
      <c r="I49" s="2704">
        <v>8043152</v>
      </c>
      <c r="J49" s="2704"/>
      <c r="L49" s="2741">
        <f>'Part IV-A-Uses of Funds'!$J$175*10*'Part IV-A-Uses of Funds'!$N$168</f>
        <v>8125216</v>
      </c>
      <c r="M49" s="2741"/>
      <c r="N49" s="2742">
        <f>I49-L49</f>
        <v>-82064</v>
      </c>
      <c r="O49" s="2742"/>
      <c r="P49" s="414" t="s">
        <v>2578</v>
      </c>
      <c r="Q49" s="383"/>
      <c r="S49" s="2717"/>
      <c r="T49" s="2718"/>
    </row>
    <row r="50" spans="1:23" s="278" customFormat="1" ht="14.25" customHeight="1">
      <c r="A50" s="305"/>
      <c r="B50" s="2735" t="s">
        <v>811</v>
      </c>
      <c r="C50" s="2736"/>
      <c r="D50" s="2737"/>
      <c r="E50" s="2701" t="s">
        <v>4711</v>
      </c>
      <c r="F50" s="2702"/>
      <c r="G50" s="2702"/>
      <c r="H50" s="2703"/>
      <c r="I50" s="2704">
        <v>4697852</v>
      </c>
      <c r="J50" s="2704"/>
      <c r="L50" s="2741">
        <f>'Part IV-A-Uses of Funds'!$J$175*10*'Part IV-A-Uses of Funds'!$Q$168</f>
        <v>4616600</v>
      </c>
      <c r="M50" s="2741"/>
      <c r="N50" s="2742">
        <f>I50-L50</f>
        <v>81252</v>
      </c>
      <c r="O50" s="2742"/>
      <c r="P50" s="415">
        <f>I49/I59</f>
        <v>0.49941807065710081</v>
      </c>
      <c r="Q50" s="383"/>
      <c r="S50" s="2717"/>
      <c r="T50" s="2718"/>
    </row>
    <row r="51" spans="1:23" s="278" customFormat="1" ht="14.25" customHeight="1">
      <c r="A51" s="305"/>
      <c r="B51" s="2735" t="s">
        <v>1422</v>
      </c>
      <c r="C51" s="2736"/>
      <c r="D51" s="2737"/>
      <c r="E51" s="2701"/>
      <c r="F51" s="2702"/>
      <c r="G51" s="2702"/>
      <c r="H51" s="2703"/>
      <c r="I51" s="2704"/>
      <c r="J51" s="2704"/>
      <c r="P51" s="415">
        <f>I50/I59</f>
        <v>0.29170058977781377</v>
      </c>
      <c r="Q51" s="383"/>
      <c r="S51" s="2719"/>
      <c r="T51" s="2720"/>
    </row>
    <row r="52" spans="1:23" s="278" customFormat="1" ht="14.25" customHeight="1">
      <c r="A52" s="305"/>
      <c r="B52" s="1565" t="s">
        <v>536</v>
      </c>
      <c r="C52" s="1566"/>
      <c r="D52" s="1567"/>
      <c r="E52" s="2701"/>
      <c r="F52" s="2702"/>
      <c r="G52" s="2702"/>
      <c r="H52" s="2703"/>
      <c r="I52" s="2704"/>
      <c r="J52" s="2704"/>
      <c r="K52" s="305"/>
      <c r="P52" s="416">
        <f>SUM(P50:P51)</f>
        <v>0.79111866043491452</v>
      </c>
      <c r="Q52" s="383"/>
      <c r="S52" s="2717"/>
      <c r="T52" s="2718"/>
    </row>
    <row r="53" spans="1:23" s="278" customFormat="1" ht="14.25" customHeight="1">
      <c r="A53" s="305"/>
      <c r="B53" s="1565" t="s">
        <v>1884</v>
      </c>
      <c r="C53" s="1566"/>
      <c r="D53" s="1567"/>
      <c r="E53" s="2701"/>
      <c r="F53" s="2702"/>
      <c r="G53" s="2702"/>
      <c r="H53" s="2703"/>
      <c r="I53" s="2704"/>
      <c r="J53" s="2704"/>
      <c r="N53" s="384"/>
      <c r="O53" s="384"/>
      <c r="P53" s="384"/>
      <c r="Q53" s="383"/>
      <c r="S53" s="2717"/>
      <c r="T53" s="2718"/>
    </row>
    <row r="54" spans="1:23" s="278" customFormat="1" ht="14.25" customHeight="1">
      <c r="A54" s="305"/>
      <c r="B54" s="1565" t="s">
        <v>1885</v>
      </c>
      <c r="C54" s="1566"/>
      <c r="D54" s="1567"/>
      <c r="E54" s="2701"/>
      <c r="F54" s="2702"/>
      <c r="G54" s="2702"/>
      <c r="H54" s="2703"/>
      <c r="I54" s="2704"/>
      <c r="J54" s="2704"/>
      <c r="M54" s="384"/>
      <c r="N54" s="384"/>
      <c r="O54" s="384"/>
      <c r="P54" s="384"/>
      <c r="Q54" s="383"/>
      <c r="S54" s="2717"/>
      <c r="T54" s="2718"/>
    </row>
    <row r="55" spans="1:23" s="278" customFormat="1" ht="14.25" customHeight="1">
      <c r="A55" s="305"/>
      <c r="B55" s="1565" t="s">
        <v>749</v>
      </c>
      <c r="C55" s="2721"/>
      <c r="D55" s="2721"/>
      <c r="E55" s="2701"/>
      <c r="F55" s="2702"/>
      <c r="G55" s="2702"/>
      <c r="H55" s="2703"/>
      <c r="I55" s="2704"/>
      <c r="J55" s="2704"/>
      <c r="M55" s="384"/>
      <c r="N55" s="384"/>
      <c r="O55" s="384"/>
      <c r="P55" s="384"/>
      <c r="Q55" s="383"/>
      <c r="S55" s="2717"/>
      <c r="T55" s="2718"/>
    </row>
    <row r="56" spans="1:23" s="278" customFormat="1" ht="14.25" customHeight="1">
      <c r="A56" s="305"/>
      <c r="B56" s="1565" t="s">
        <v>749</v>
      </c>
      <c r="C56" s="2722"/>
      <c r="D56" s="2722"/>
      <c r="E56" s="2701"/>
      <c r="F56" s="2702"/>
      <c r="G56" s="2702"/>
      <c r="H56" s="2703"/>
      <c r="I56" s="2704"/>
      <c r="J56" s="2704"/>
      <c r="K56" s="305"/>
      <c r="L56" s="385"/>
      <c r="M56" s="384"/>
      <c r="N56" s="384"/>
      <c r="O56" s="384"/>
      <c r="P56" s="384"/>
      <c r="Q56" s="383"/>
      <c r="S56" s="2717"/>
      <c r="T56" s="2718"/>
    </row>
    <row r="57" spans="1:23" s="278" customFormat="1" ht="14.25" customHeight="1">
      <c r="A57" s="305"/>
      <c r="B57" s="1573" t="s">
        <v>749</v>
      </c>
      <c r="C57" s="2706"/>
      <c r="D57" s="2706"/>
      <c r="E57" s="2707"/>
      <c r="F57" s="2708"/>
      <c r="G57" s="2708"/>
      <c r="H57" s="2709"/>
      <c r="I57" s="2710"/>
      <c r="J57" s="2710"/>
      <c r="K57" s="305"/>
      <c r="L57" s="385"/>
      <c r="M57" s="384"/>
      <c r="N57" s="384"/>
      <c r="O57" s="384"/>
      <c r="P57" s="384"/>
      <c r="Q57" s="383"/>
      <c r="S57" s="2717"/>
      <c r="T57" s="2718"/>
    </row>
    <row r="58" spans="1:23" s="278" customFormat="1" ht="14.25" customHeight="1">
      <c r="A58" s="305"/>
      <c r="B58" s="1557" t="s">
        <v>2233</v>
      </c>
      <c r="C58" s="305"/>
      <c r="D58" s="305"/>
      <c r="E58" s="305"/>
      <c r="F58" s="305"/>
      <c r="G58" s="305"/>
      <c r="I58" s="2711">
        <f>SUM(I37:J42)+SUM(I47:J57)</f>
        <v>16105048</v>
      </c>
      <c r="J58" s="2712"/>
      <c r="K58" s="305"/>
      <c r="L58" s="385"/>
      <c r="M58" s="384"/>
      <c r="N58" s="384"/>
      <c r="O58" s="384"/>
      <c r="P58" s="384"/>
      <c r="Q58" s="383"/>
      <c r="S58" s="2717"/>
      <c r="T58" s="2718"/>
    </row>
    <row r="59" spans="1:23" s="278" customFormat="1" ht="14.25" customHeight="1" thickBot="1">
      <c r="A59" s="305"/>
      <c r="B59" s="1557" t="s">
        <v>2234</v>
      </c>
      <c r="C59" s="305"/>
      <c r="D59" s="305"/>
      <c r="E59" s="305"/>
      <c r="F59" s="305"/>
      <c r="G59" s="305"/>
      <c r="I59" s="2713">
        <f>'Part IV-A-Uses of Funds'!$G$132</f>
        <v>16105048</v>
      </c>
      <c r="J59" s="2714"/>
      <c r="K59" s="305"/>
      <c r="L59" s="385"/>
      <c r="M59" s="384"/>
      <c r="N59" s="384"/>
      <c r="O59" s="384"/>
      <c r="P59" s="384"/>
      <c r="Q59" s="383"/>
      <c r="S59" s="2717"/>
      <c r="T59" s="2718"/>
    </row>
    <row r="60" spans="1:23" s="278" customFormat="1" ht="14.25" customHeight="1" thickBot="1">
      <c r="A60" s="305"/>
      <c r="B60" s="310" t="s">
        <v>1537</v>
      </c>
      <c r="C60" s="305"/>
      <c r="D60" s="305"/>
      <c r="E60" s="305"/>
      <c r="F60" s="305"/>
      <c r="G60" s="305"/>
      <c r="I60" s="2715">
        <f>I58-I59</f>
        <v>0</v>
      </c>
      <c r="J60" s="2716"/>
      <c r="K60" s="305"/>
      <c r="L60" s="385"/>
      <c r="M60" s="384"/>
      <c r="N60" s="384"/>
      <c r="O60" s="384"/>
      <c r="P60" s="384"/>
      <c r="Q60" s="383"/>
      <c r="S60" s="2719"/>
      <c r="T60" s="2720"/>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24" t="s">
        <v>4745</v>
      </c>
      <c r="B64" s="2724"/>
      <c r="C64" s="2724"/>
      <c r="D64" s="2724"/>
      <c r="E64" s="2724"/>
      <c r="F64" s="2724"/>
      <c r="G64" s="2724"/>
      <c r="H64" s="2724"/>
      <c r="I64" s="2724"/>
      <c r="J64" s="2724"/>
      <c r="K64" s="2724"/>
      <c r="L64" s="2724"/>
      <c r="M64" s="2723"/>
      <c r="N64" s="2723"/>
      <c r="O64" s="2723"/>
      <c r="P64" s="2723"/>
      <c r="Q64" s="2723"/>
      <c r="S64" s="2705" t="s">
        <v>2711</v>
      </c>
      <c r="T64" s="2705"/>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LHsWWwoZVyHGclC70MWLWRe0SJvaLYgwOfdIJ4NXAb5n5/GW4N6q3QlwhrlK8tBS9sJmjQwdzNZ9gAn4R76tSA==" saltValue="tfkUYA/7fOa4O23Z4eDSF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3" t="e">
        <f>CONCATENATE("PART III B: USD 538 LOAN","  -  ",#REF!," ",#REF!,", ",#REF!,", ",#REF!," County")</f>
        <v>#REF!</v>
      </c>
      <c r="B1" s="2824"/>
      <c r="C1" s="2824"/>
      <c r="D1" s="2824"/>
      <c r="E1" s="2824"/>
      <c r="F1" s="2825"/>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32" t="s">
        <v>220</v>
      </c>
      <c r="B3" s="2832"/>
      <c r="C3" s="2832"/>
      <c r="D3" s="2832"/>
      <c r="E3" s="2832"/>
      <c r="F3" s="2832"/>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33" t="s">
        <v>129</v>
      </c>
      <c r="B14" s="2833"/>
      <c r="C14" s="2833"/>
      <c r="D14" s="2833"/>
      <c r="E14" s="2833"/>
      <c r="F14" s="2833"/>
      <c r="G14" s="200"/>
      <c r="H14" s="200"/>
    </row>
    <row r="15" spans="1:17" ht="5.45" customHeight="1">
      <c r="A15" s="29"/>
      <c r="E15" s="211"/>
      <c r="F15" s="200"/>
      <c r="G15" s="200"/>
      <c r="H15" s="200"/>
    </row>
    <row r="16" spans="1:17" ht="13.15" customHeight="1">
      <c r="A16" s="213" t="s">
        <v>2497</v>
      </c>
      <c r="B16" s="214" t="s">
        <v>2494</v>
      </c>
      <c r="C16" s="214" t="s">
        <v>2495</v>
      </c>
      <c r="D16" s="2829" t="s">
        <v>2271</v>
      </c>
      <c r="E16" s="2829"/>
      <c r="F16" s="200"/>
      <c r="G16" s="200"/>
      <c r="H16" s="200"/>
    </row>
    <row r="17" spans="1:8" ht="12.6" customHeight="1">
      <c r="A17" s="83">
        <v>1</v>
      </c>
      <c r="B17" s="189">
        <f>IF(A17&gt;$C$9,0,SUM(C64:C75)*($C$6/$C$7))</f>
        <v>0</v>
      </c>
      <c r="C17" s="212">
        <f>IF(A17&gt;C9,0,(E63+K63)*$C$8)</f>
        <v>0</v>
      </c>
      <c r="D17" s="2834">
        <f t="shared" ref="D17:D56" si="0">IF(A17&gt;$C$9,0,$C$11+C17)</f>
        <v>0</v>
      </c>
      <c r="E17" s="2834"/>
      <c r="F17" s="200"/>
      <c r="G17" s="200"/>
      <c r="H17" s="200"/>
    </row>
    <row r="18" spans="1:8" ht="12.6" customHeight="1">
      <c r="A18" s="83">
        <v>2</v>
      </c>
      <c r="B18" s="189">
        <f>IF(A18&gt;C9,0,SUM(C76:C87)*($C$6/$C$7))</f>
        <v>0</v>
      </c>
      <c r="C18" s="219">
        <f>IF(A18&gt;C9,0,(E75+K75)*$C$8)</f>
        <v>0</v>
      </c>
      <c r="D18" s="2826">
        <f t="shared" si="0"/>
        <v>0</v>
      </c>
      <c r="E18" s="2826"/>
      <c r="F18" s="200"/>
      <c r="G18" s="200"/>
      <c r="H18" s="200"/>
    </row>
    <row r="19" spans="1:8" ht="12.6" customHeight="1">
      <c r="A19" s="83">
        <v>3</v>
      </c>
      <c r="B19" s="189">
        <f>IF(A19&gt;C9,0,SUM(C88:C99)*($C$6/$C$7))</f>
        <v>0</v>
      </c>
      <c r="C19" s="212">
        <f>IF(A19&gt;C9,0,(E87+K87)*$C$8)</f>
        <v>0</v>
      </c>
      <c r="D19" s="2826">
        <f t="shared" si="0"/>
        <v>0</v>
      </c>
      <c r="E19" s="2826"/>
      <c r="F19" s="200"/>
      <c r="G19" s="200"/>
      <c r="H19" s="200"/>
    </row>
    <row r="20" spans="1:8" ht="12.6" customHeight="1">
      <c r="A20" s="83">
        <v>4</v>
      </c>
      <c r="B20" s="189">
        <f>IF(A20&gt;C9,0,SUM(C100:C111)*($C$6/$C$7))</f>
        <v>0</v>
      </c>
      <c r="C20" s="212">
        <f>IF(A20&gt;C9,0,(E99+K99)*$C$8)</f>
        <v>0</v>
      </c>
      <c r="D20" s="2826">
        <f t="shared" si="0"/>
        <v>0</v>
      </c>
      <c r="E20" s="2826"/>
      <c r="F20" s="200"/>
      <c r="G20" s="200"/>
      <c r="H20" s="200"/>
    </row>
    <row r="21" spans="1:8" ht="12.6" customHeight="1">
      <c r="A21" s="83">
        <v>5</v>
      </c>
      <c r="B21" s="189">
        <f>IF(A21&gt;C9,0,SUM(C112:C123)*($C$6/$C$7))</f>
        <v>0</v>
      </c>
      <c r="C21" s="212">
        <f>IF(A21&gt;C9,0,(E111+K111)*$C$8)</f>
        <v>0</v>
      </c>
      <c r="D21" s="2827">
        <f t="shared" si="0"/>
        <v>0</v>
      </c>
      <c r="E21" s="2827"/>
      <c r="F21" s="200"/>
      <c r="G21" s="200"/>
      <c r="H21" s="200"/>
    </row>
    <row r="22" spans="1:8" ht="12.6" customHeight="1">
      <c r="A22" s="190">
        <v>6</v>
      </c>
      <c r="B22" s="191">
        <f>IF(A22&gt;C9,0,SUM(C124:C135)*($C$6/$C$7))</f>
        <v>0</v>
      </c>
      <c r="C22" s="216">
        <f>IF(A22&gt;C9,0,(E123+K123)*$C$8)</f>
        <v>0</v>
      </c>
      <c r="D22" s="2826">
        <f t="shared" si="0"/>
        <v>0</v>
      </c>
      <c r="E22" s="2826"/>
      <c r="F22" s="200"/>
      <c r="G22" s="200"/>
      <c r="H22" s="200"/>
    </row>
    <row r="23" spans="1:8" ht="12.6" customHeight="1">
      <c r="A23" s="192">
        <v>7</v>
      </c>
      <c r="B23" s="193">
        <f>IF(A23&gt;C9,0,SUM(C136:C147)*($C$6/$C$7))</f>
        <v>0</v>
      </c>
      <c r="C23" s="194">
        <f>IF(A23&gt;C9,0,(E135+K135)*$C$8)</f>
        <v>0</v>
      </c>
      <c r="D23" s="2826">
        <f t="shared" si="0"/>
        <v>0</v>
      </c>
      <c r="E23" s="2826"/>
      <c r="F23" s="200"/>
      <c r="G23" s="200"/>
      <c r="H23" s="200"/>
    </row>
    <row r="24" spans="1:8" ht="12.6" customHeight="1">
      <c r="A24" s="192">
        <v>8</v>
      </c>
      <c r="B24" s="193">
        <f>IF(A24&gt;C9,0,SUM(C148:C159)*($C$6/$C$7))</f>
        <v>0</v>
      </c>
      <c r="C24" s="194">
        <f>IF(A24&gt;C9,0,(E147+K147)*$C$8)</f>
        <v>0</v>
      </c>
      <c r="D24" s="2826">
        <f t="shared" si="0"/>
        <v>0</v>
      </c>
      <c r="E24" s="2826"/>
      <c r="F24" s="200"/>
      <c r="G24" s="200"/>
      <c r="H24" s="200"/>
    </row>
    <row r="25" spans="1:8" ht="12.6" customHeight="1">
      <c r="A25" s="192">
        <v>9</v>
      </c>
      <c r="B25" s="193">
        <f>IF(A25&gt;C9,0,SUM(C160:C171)*($C$6/$C$7))</f>
        <v>0</v>
      </c>
      <c r="C25" s="194">
        <f>IF(A25&gt;C9,0,(E159+K159)*$C$8)</f>
        <v>0</v>
      </c>
      <c r="D25" s="2826">
        <f t="shared" si="0"/>
        <v>0</v>
      </c>
      <c r="E25" s="2826"/>
      <c r="F25" s="200"/>
      <c r="G25" s="200"/>
      <c r="H25" s="200"/>
    </row>
    <row r="26" spans="1:8" ht="12.6" customHeight="1">
      <c r="A26" s="195">
        <v>10</v>
      </c>
      <c r="B26" s="196">
        <f>IF(A26&gt;C9,0,SUM(C172:C183)*($C$6/$C$7))</f>
        <v>0</v>
      </c>
      <c r="C26" s="215">
        <f>IF(A26&gt;C9,0,(E171+K171)*$C$8)</f>
        <v>0</v>
      </c>
      <c r="D26" s="2827">
        <f t="shared" si="0"/>
        <v>0</v>
      </c>
      <c r="E26" s="2827"/>
      <c r="F26" s="200"/>
      <c r="G26" s="200"/>
      <c r="H26" s="200"/>
    </row>
    <row r="27" spans="1:8" ht="12.6" customHeight="1">
      <c r="A27" s="197">
        <v>11</v>
      </c>
      <c r="B27" s="189">
        <f>IF(A27&gt;C9,0,SUM(C184:C195)*($C$6/$C$7))</f>
        <v>0</v>
      </c>
      <c r="C27" s="212">
        <f>IF(A27&gt;C9,0,(E183+K183)*$C$8)</f>
        <v>0</v>
      </c>
      <c r="D27" s="2826">
        <f t="shared" si="0"/>
        <v>0</v>
      </c>
      <c r="E27" s="2826"/>
      <c r="F27" s="200"/>
      <c r="G27" s="200"/>
      <c r="H27" s="200"/>
    </row>
    <row r="28" spans="1:8" ht="12.6" customHeight="1">
      <c r="A28" s="197">
        <v>12</v>
      </c>
      <c r="B28" s="189">
        <f>IF(A28&gt;C9,0,SUM(C196:C207)*($C$6/$C$7))</f>
        <v>0</v>
      </c>
      <c r="C28" s="212">
        <f>IF(A28&gt;C9,0,(E195+K195)*$C$8)</f>
        <v>0</v>
      </c>
      <c r="D28" s="2826">
        <f t="shared" si="0"/>
        <v>0</v>
      </c>
      <c r="E28" s="2826"/>
      <c r="F28" s="200"/>
      <c r="G28" s="200"/>
      <c r="H28" s="200"/>
    </row>
    <row r="29" spans="1:8" ht="12.6" customHeight="1">
      <c r="A29" s="197">
        <v>13</v>
      </c>
      <c r="B29" s="189">
        <f>IF(A29&gt;C9,0,SUM(C208:C219)*($C$6/$C$7))</f>
        <v>0</v>
      </c>
      <c r="C29" s="212">
        <f>IF(A29&gt;C9,0,(E207+K207)*$C$8)</f>
        <v>0</v>
      </c>
      <c r="D29" s="2826">
        <f t="shared" si="0"/>
        <v>0</v>
      </c>
      <c r="E29" s="2826"/>
      <c r="F29" s="200"/>
      <c r="G29" s="200"/>
      <c r="H29" s="200"/>
    </row>
    <row r="30" spans="1:8" ht="12.6" customHeight="1">
      <c r="A30" s="197">
        <v>14</v>
      </c>
      <c r="B30" s="189">
        <f>IF(A30&gt;C9,0,SUM(C220:C231)*($C$6/$C$7))</f>
        <v>0</v>
      </c>
      <c r="C30" s="212">
        <f>IF(A30&gt;C9,0,(E219+K219)*$C$8)</f>
        <v>0</v>
      </c>
      <c r="D30" s="2826">
        <f t="shared" si="0"/>
        <v>0</v>
      </c>
      <c r="E30" s="2826"/>
      <c r="F30" s="200"/>
      <c r="G30" s="200"/>
      <c r="H30" s="200"/>
    </row>
    <row r="31" spans="1:8" ht="12.6" customHeight="1">
      <c r="A31" s="197">
        <v>15</v>
      </c>
      <c r="B31" s="189">
        <f>IF(A31&gt;C9,0,SUM(C232:C243)*($C$6/$C$7))</f>
        <v>0</v>
      </c>
      <c r="C31" s="212">
        <f>IF(A31&gt;C9,0,(E231+K231)*$C$8)</f>
        <v>0</v>
      </c>
      <c r="D31" s="2827">
        <f t="shared" si="0"/>
        <v>0</v>
      </c>
      <c r="E31" s="2827"/>
      <c r="F31" s="200"/>
      <c r="G31" s="200"/>
      <c r="H31" s="200"/>
    </row>
    <row r="32" spans="1:8" ht="12.6" customHeight="1">
      <c r="A32" s="199">
        <v>16</v>
      </c>
      <c r="B32" s="191">
        <f>IF(A32&gt;C9,0,SUM(C244:C255)*($C$6/$C$7))</f>
        <v>0</v>
      </c>
      <c r="C32" s="216">
        <f>IF(A32&gt;C9,0,(E243+K243)*$C$8)</f>
        <v>0</v>
      </c>
      <c r="D32" s="2826">
        <f t="shared" si="0"/>
        <v>0</v>
      </c>
      <c r="E32" s="2826"/>
      <c r="F32" s="200"/>
      <c r="G32" s="200"/>
      <c r="H32" s="200"/>
    </row>
    <row r="33" spans="1:8" ht="12.6" customHeight="1">
      <c r="A33" s="192">
        <v>17</v>
      </c>
      <c r="B33" s="193">
        <f>IF(A33&gt;C9,0,SUM(C256:C267)*($C$6/$C$7))</f>
        <v>0</v>
      </c>
      <c r="C33" s="194">
        <f>IF(A33&gt;C9,0,(E255+K255)*$C$8)</f>
        <v>0</v>
      </c>
      <c r="D33" s="2826">
        <f t="shared" si="0"/>
        <v>0</v>
      </c>
      <c r="E33" s="2826"/>
      <c r="F33" s="200"/>
      <c r="G33" s="200"/>
      <c r="H33" s="200"/>
    </row>
    <row r="34" spans="1:8" ht="12.6" customHeight="1">
      <c r="A34" s="192">
        <v>18</v>
      </c>
      <c r="B34" s="193">
        <f>IF(A34&gt;C9,0,SUM(C268:C279)*($C$6/$C$7))</f>
        <v>0</v>
      </c>
      <c r="C34" s="194">
        <f>IF(A34&gt;C9,0,(E267+K267)*$C$8)</f>
        <v>0</v>
      </c>
      <c r="D34" s="2826">
        <f t="shared" si="0"/>
        <v>0</v>
      </c>
      <c r="E34" s="2826"/>
      <c r="F34" s="200"/>
      <c r="G34" s="200"/>
      <c r="H34" s="200"/>
    </row>
    <row r="35" spans="1:8" ht="12.6" customHeight="1">
      <c r="A35" s="192">
        <v>19</v>
      </c>
      <c r="B35" s="193">
        <f>IF(A35&gt;C9,0,SUM(C280:C291)*($C$6/$C$7))</f>
        <v>0</v>
      </c>
      <c r="C35" s="194">
        <f>IF(A35&gt;C9,0,(E279+K279)*$C$8)</f>
        <v>0</v>
      </c>
      <c r="D35" s="2826">
        <f t="shared" si="0"/>
        <v>0</v>
      </c>
      <c r="E35" s="2826"/>
      <c r="F35" s="200"/>
      <c r="G35" s="200"/>
      <c r="H35" s="200"/>
    </row>
    <row r="36" spans="1:8" ht="12.6" customHeight="1">
      <c r="A36" s="195">
        <v>20</v>
      </c>
      <c r="B36" s="196">
        <f>IF(A36&gt;C9,0,SUM(C292:C303)*($C$6/$C$7))</f>
        <v>0</v>
      </c>
      <c r="C36" s="215">
        <f>IF(A36&gt;C9,0,(E291+K291)*$C$8)</f>
        <v>0</v>
      </c>
      <c r="D36" s="2827">
        <f t="shared" si="0"/>
        <v>0</v>
      </c>
      <c r="E36" s="2827"/>
      <c r="F36" s="200"/>
      <c r="G36" s="200"/>
      <c r="H36" s="200"/>
    </row>
    <row r="37" spans="1:8" ht="12.6" customHeight="1">
      <c r="A37" s="83">
        <v>21</v>
      </c>
      <c r="B37" s="191">
        <f>IF(A37&gt;C9,0,SUM(C293:C304)*($C$6/$C$7))</f>
        <v>0</v>
      </c>
      <c r="C37" s="216">
        <f>IF(A37&gt;C9,0,(E303+K303)*$C$8)</f>
        <v>0</v>
      </c>
      <c r="D37" s="2828">
        <f t="shared" si="0"/>
        <v>0</v>
      </c>
      <c r="E37" s="2828"/>
      <c r="F37" s="200"/>
      <c r="G37" s="200"/>
      <c r="H37" s="200"/>
    </row>
    <row r="38" spans="1:8" ht="12.6" customHeight="1">
      <c r="A38" s="83">
        <v>22</v>
      </c>
      <c r="B38" s="193">
        <f>IF(A38&gt;C9,0,SUM(C294:C305)*($C$6/$C$7))</f>
        <v>0</v>
      </c>
      <c r="C38" s="194">
        <f>IF(A38&gt;C9,0,(E315+K315)*$C$8)</f>
        <v>0</v>
      </c>
      <c r="D38" s="2826">
        <f t="shared" si="0"/>
        <v>0</v>
      </c>
      <c r="E38" s="2826"/>
      <c r="F38" s="200"/>
      <c r="G38" s="200"/>
      <c r="H38" s="200"/>
    </row>
    <row r="39" spans="1:8" ht="12.6" customHeight="1">
      <c r="A39" s="83">
        <v>23</v>
      </c>
      <c r="B39" s="193">
        <f>IF(A39&gt;C9,0,SUM(C295:C306)*($C$6/$C$7))</f>
        <v>0</v>
      </c>
      <c r="C39" s="194">
        <f>IF(A39&gt;C9,0,(E327+K327)*$C$8)</f>
        <v>0</v>
      </c>
      <c r="D39" s="2826">
        <f t="shared" si="0"/>
        <v>0</v>
      </c>
      <c r="E39" s="2826"/>
      <c r="F39" s="200"/>
      <c r="G39" s="200"/>
      <c r="H39" s="200"/>
    </row>
    <row r="40" spans="1:8" ht="12.6" customHeight="1">
      <c r="A40" s="83">
        <v>24</v>
      </c>
      <c r="B40" s="193">
        <f>IF(A40&gt;C9,0,SUM(C296:C307)*($C$6/$C$7))</f>
        <v>0</v>
      </c>
      <c r="C40" s="194">
        <f>IF(A40&gt;C9,0,(E339+K339)*$C$8)</f>
        <v>0</v>
      </c>
      <c r="D40" s="2826">
        <f t="shared" si="0"/>
        <v>0</v>
      </c>
      <c r="E40" s="2826"/>
      <c r="F40" s="200"/>
      <c r="G40" s="200"/>
      <c r="H40" s="200"/>
    </row>
    <row r="41" spans="1:8" ht="12.6" customHeight="1">
      <c r="A41" s="83">
        <v>25</v>
      </c>
      <c r="B41" s="196">
        <f>IF(A41&gt;C9,0,SUM(C297:C308)*($C$6/$C$7))</f>
        <v>0</v>
      </c>
      <c r="C41" s="215">
        <f>IF(A41&gt;C9,0,(E351+K351)*$C$8)</f>
        <v>0</v>
      </c>
      <c r="D41" s="2827">
        <f t="shared" si="0"/>
        <v>0</v>
      </c>
      <c r="E41" s="2827"/>
      <c r="F41" s="200"/>
      <c r="G41" s="200"/>
      <c r="H41" s="200"/>
    </row>
    <row r="42" spans="1:8" ht="12.6" customHeight="1">
      <c r="A42" s="190">
        <v>26</v>
      </c>
      <c r="B42" s="191">
        <f>IF(A42&gt;C9,0,SUM(C298:C309)*($C$6/$C$7))</f>
        <v>0</v>
      </c>
      <c r="C42" s="216">
        <f>IF(A42&gt;C9,0,(E363+K363)*$C$8)</f>
        <v>0</v>
      </c>
      <c r="D42" s="2828">
        <f t="shared" si="0"/>
        <v>0</v>
      </c>
      <c r="E42" s="2828"/>
      <c r="F42" s="200"/>
      <c r="G42" s="200"/>
      <c r="H42" s="200"/>
    </row>
    <row r="43" spans="1:8" ht="12.6" customHeight="1">
      <c r="A43" s="192">
        <v>27</v>
      </c>
      <c r="B43" s="193">
        <f>IF(A43&gt;C9,0,SUM(C299:C310)*($C$6/$C$7))</f>
        <v>0</v>
      </c>
      <c r="C43" s="194">
        <f>IF(A43&gt;C9,0,(E375+K375)*$C$8)</f>
        <v>0</v>
      </c>
      <c r="D43" s="2826">
        <f t="shared" si="0"/>
        <v>0</v>
      </c>
      <c r="E43" s="2826"/>
      <c r="F43" s="200"/>
      <c r="G43" s="200"/>
      <c r="H43" s="200"/>
    </row>
    <row r="44" spans="1:8" ht="12.6" customHeight="1">
      <c r="A44" s="192">
        <v>28</v>
      </c>
      <c r="B44" s="193">
        <f>IF(A44&gt;C9,0,SUM(C300:C311)*($C$6/$C$7))</f>
        <v>0</v>
      </c>
      <c r="C44" s="194">
        <f>IF(A44&gt;C9,0,(E387+K387)*$C$8)</f>
        <v>0</v>
      </c>
      <c r="D44" s="2826">
        <f t="shared" si="0"/>
        <v>0</v>
      </c>
      <c r="E44" s="2826"/>
      <c r="F44" s="200"/>
      <c r="G44" s="200"/>
      <c r="H44" s="200"/>
    </row>
    <row r="45" spans="1:8" ht="12.6" customHeight="1">
      <c r="A45" s="192">
        <v>29</v>
      </c>
      <c r="B45" s="193">
        <f>IF(A45&gt;C9,0,SUM(C301:C312)*($C$6/$C$7))</f>
        <v>0</v>
      </c>
      <c r="C45" s="194">
        <f>IF(A45&gt;C9,0,(E411+K411)*$C$8)</f>
        <v>0</v>
      </c>
      <c r="D45" s="2826">
        <f t="shared" si="0"/>
        <v>0</v>
      </c>
      <c r="E45" s="2826"/>
      <c r="F45" s="200"/>
      <c r="G45" s="200"/>
      <c r="H45" s="200"/>
    </row>
    <row r="46" spans="1:8" ht="12.6" customHeight="1">
      <c r="A46" s="195">
        <v>30</v>
      </c>
      <c r="B46" s="196">
        <f>IF(A46&gt;C9,0,SUM(C302:C313)*($C$6/$C$7))</f>
        <v>0</v>
      </c>
      <c r="C46" s="215">
        <f>IF(A46&gt;C9,0,(E423+K423)*$C$8)</f>
        <v>0</v>
      </c>
      <c r="D46" s="2827">
        <f t="shared" si="0"/>
        <v>0</v>
      </c>
      <c r="E46" s="2827"/>
      <c r="F46" s="200"/>
      <c r="G46" s="200"/>
      <c r="H46" s="200"/>
    </row>
    <row r="47" spans="1:8" ht="12.6" customHeight="1">
      <c r="A47" s="199">
        <v>31</v>
      </c>
      <c r="B47" s="191">
        <f>IF(A47&gt;C9,0,SUM(C303:C314)*($C$6/$C$7))</f>
        <v>0</v>
      </c>
      <c r="C47" s="216">
        <f>IF(A47&gt;C9,0,(E435+K435)*$C$8)</f>
        <v>0</v>
      </c>
      <c r="D47" s="2828">
        <f t="shared" si="0"/>
        <v>0</v>
      </c>
      <c r="E47" s="2828"/>
      <c r="F47" s="200"/>
      <c r="G47" s="200"/>
      <c r="H47" s="200"/>
    </row>
    <row r="48" spans="1:8" ht="12.6" customHeight="1">
      <c r="A48" s="192">
        <v>32</v>
      </c>
      <c r="B48" s="193">
        <f>IF(A48&gt;C9,0,SUM(C304:C315)*($C$6/$C$7))</f>
        <v>0</v>
      </c>
      <c r="C48" s="194">
        <f>IF(A48&gt;C9,0,(E447+K447)*$C$8)</f>
        <v>0</v>
      </c>
      <c r="D48" s="2826">
        <f t="shared" si="0"/>
        <v>0</v>
      </c>
      <c r="E48" s="2826"/>
      <c r="F48" s="200"/>
      <c r="G48" s="200"/>
      <c r="H48" s="200"/>
    </row>
    <row r="49" spans="1:12" ht="12.6" customHeight="1">
      <c r="A49" s="192">
        <v>33</v>
      </c>
      <c r="B49" s="193">
        <f>IF(A49&gt;C9,0,SUM(C305:C316)*($C$6/$C$7))</f>
        <v>0</v>
      </c>
      <c r="C49" s="194">
        <f>IF(A49&gt;C9,0,(E459+K459)*$C$8)</f>
        <v>0</v>
      </c>
      <c r="D49" s="2826">
        <f t="shared" si="0"/>
        <v>0</v>
      </c>
      <c r="E49" s="2826"/>
      <c r="F49" s="200"/>
      <c r="G49" s="200"/>
      <c r="H49" s="200"/>
    </row>
    <row r="50" spans="1:12" ht="12.6" customHeight="1">
      <c r="A50" s="192">
        <v>34</v>
      </c>
      <c r="B50" s="193">
        <f>IF(A50&gt;C9,0,SUM(C306:C317)*($C$6/$C$7))</f>
        <v>0</v>
      </c>
      <c r="C50" s="194">
        <f>IF(A50&gt;C9,0,(E471+K471)*$C$8)</f>
        <v>0</v>
      </c>
      <c r="D50" s="2826">
        <f t="shared" si="0"/>
        <v>0</v>
      </c>
      <c r="E50" s="2826"/>
      <c r="F50" s="200"/>
      <c r="G50" s="200"/>
      <c r="H50" s="200"/>
    </row>
    <row r="51" spans="1:12" ht="12.6" customHeight="1">
      <c r="A51" s="195">
        <v>35</v>
      </c>
      <c r="B51" s="196">
        <f>IF(A51&gt;C9,0,SUM(C307:C318)*($C$6/$C$7))</f>
        <v>0</v>
      </c>
      <c r="C51" s="215">
        <f>IF(A51&gt;C9,0,(E483+K483)*$C$8)</f>
        <v>0</v>
      </c>
      <c r="D51" s="2827">
        <f t="shared" si="0"/>
        <v>0</v>
      </c>
      <c r="E51" s="2827"/>
      <c r="F51" s="200"/>
      <c r="G51" s="200"/>
      <c r="H51" s="200"/>
    </row>
    <row r="52" spans="1:12" ht="12.6" customHeight="1">
      <c r="A52" s="199">
        <v>36</v>
      </c>
      <c r="B52" s="191">
        <f>IF(A52&gt;C9,0,SUM(C308:C319)*($C$6/$C$7))</f>
        <v>0</v>
      </c>
      <c r="C52" s="216">
        <f>IF(A52&gt;C9,0,(E495+K495)*$C$8)</f>
        <v>0</v>
      </c>
      <c r="D52" s="2828">
        <f t="shared" si="0"/>
        <v>0</v>
      </c>
      <c r="E52" s="2828"/>
      <c r="F52" s="200"/>
      <c r="G52" s="200"/>
      <c r="H52" s="200"/>
    </row>
    <row r="53" spans="1:12" ht="12.6" customHeight="1">
      <c r="A53" s="192">
        <v>37</v>
      </c>
      <c r="B53" s="193">
        <f>IF(A53&gt;C9,0,SUM(C309:C320)*($C$6/$C$7))</f>
        <v>0</v>
      </c>
      <c r="C53" s="194">
        <f>IF(A53&gt;C9,0,(E507+K507)*$C$8)</f>
        <v>0</v>
      </c>
      <c r="D53" s="2826">
        <f t="shared" si="0"/>
        <v>0</v>
      </c>
      <c r="E53" s="2826"/>
      <c r="F53" s="200"/>
      <c r="G53" s="200"/>
      <c r="H53" s="200"/>
    </row>
    <row r="54" spans="1:12" ht="12.6" customHeight="1">
      <c r="A54" s="192">
        <v>38</v>
      </c>
      <c r="B54" s="193">
        <f>IF(A54&gt;C9,0,SUM(C310:C321)*($C$6/$C$7))</f>
        <v>0</v>
      </c>
      <c r="C54" s="194">
        <f>IF(A54&gt;C9,0,(E519+K519)*$C$8)</f>
        <v>0</v>
      </c>
      <c r="D54" s="2826">
        <f t="shared" si="0"/>
        <v>0</v>
      </c>
      <c r="E54" s="2826"/>
      <c r="F54" s="200"/>
      <c r="G54" s="200"/>
      <c r="H54" s="200"/>
    </row>
    <row r="55" spans="1:12" ht="12.6" customHeight="1">
      <c r="A55" s="192">
        <v>39</v>
      </c>
      <c r="B55" s="193">
        <f>IF(A55&gt;C9,0,SUM(C311:C322)*($C$6/$C$7))</f>
        <v>0</v>
      </c>
      <c r="C55" s="194">
        <f>IF(A55&gt;C9,0,(E531+K531)*$C$8)</f>
        <v>0</v>
      </c>
      <c r="D55" s="2826">
        <f t="shared" si="0"/>
        <v>0</v>
      </c>
      <c r="E55" s="2826"/>
      <c r="F55" s="200"/>
      <c r="G55" s="200"/>
      <c r="H55" s="200"/>
    </row>
    <row r="56" spans="1:12" ht="12.6" customHeight="1">
      <c r="A56" s="195">
        <v>40</v>
      </c>
      <c r="B56" s="196">
        <f>IF(A56&gt;C9,0,SUM(C312:C323)*($C$6/$C$7))</f>
        <v>0</v>
      </c>
      <c r="C56" s="215">
        <f>IF(A56&gt;C9,0,(E543+K543)*$C$8)</f>
        <v>0</v>
      </c>
      <c r="D56" s="2827">
        <f t="shared" si="0"/>
        <v>0</v>
      </c>
      <c r="E56" s="2827"/>
      <c r="F56" s="200"/>
      <c r="G56" s="200"/>
      <c r="H56" s="200"/>
    </row>
    <row r="57" spans="1:12" ht="3" customHeight="1">
      <c r="A57" s="200"/>
      <c r="B57" s="200"/>
      <c r="C57" s="200"/>
      <c r="D57" s="200"/>
      <c r="E57" s="200"/>
      <c r="F57" s="200"/>
      <c r="G57" s="200"/>
      <c r="H57" s="200"/>
    </row>
    <row r="58" spans="1:12" ht="13.15" customHeight="1">
      <c r="A58" s="2830" t="e">
        <f>CONCATENATE(#REF!," ",#REF!,", ",#REF!,", ",#REF!," County")</f>
        <v>#REF!</v>
      </c>
      <c r="B58" s="2830"/>
      <c r="C58" s="2830"/>
      <c r="D58" s="2830"/>
      <c r="E58" s="2830"/>
      <c r="F58" s="2830"/>
      <c r="G58" s="2830" t="e">
        <f>CONCATENATE(#REF!," ",#REF!,", ",#REF!,", ",#REF!," County")</f>
        <v>#REF!</v>
      </c>
      <c r="H58" s="2830"/>
      <c r="I58" s="2830"/>
      <c r="J58" s="2830"/>
      <c r="K58" s="2830"/>
      <c r="L58" s="2830"/>
    </row>
    <row r="59" spans="1:12" ht="15">
      <c r="A59" s="2831" t="s">
        <v>2488</v>
      </c>
      <c r="B59" s="2831"/>
      <c r="C59" s="2831"/>
      <c r="D59" s="2831"/>
      <c r="E59" s="2831"/>
      <c r="F59" s="2831"/>
      <c r="G59" s="2831" t="s">
        <v>2488</v>
      </c>
      <c r="H59" s="2831"/>
      <c r="I59" s="2831"/>
      <c r="J59" s="2831"/>
      <c r="K59" s="2831"/>
      <c r="L59" s="2831"/>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3" t="e">
        <f>CONCATENATE("PART III C  - HUD INSURED LOAN","  -  ",#REF!," ",#REF!,", ",#REF!,", ",#REF!," County")</f>
        <v>#REF!</v>
      </c>
      <c r="B1" s="2824"/>
      <c r="C1" s="2824"/>
      <c r="D1" s="2824"/>
      <c r="E1" s="2824"/>
      <c r="F1" s="2825"/>
      <c r="G1" s="168"/>
      <c r="H1" s="168"/>
      <c r="I1" s="168"/>
      <c r="J1" s="168"/>
      <c r="K1" s="168"/>
      <c r="L1" s="168"/>
      <c r="M1" s="168"/>
      <c r="N1" s="168"/>
      <c r="O1" s="168"/>
      <c r="P1" s="168"/>
      <c r="Q1" s="168"/>
    </row>
    <row r="2" spans="1:17">
      <c r="A2" s="14"/>
      <c r="B2" s="188"/>
      <c r="C2" s="188"/>
      <c r="D2" s="188"/>
    </row>
    <row r="3" spans="1:17" ht="15.6" customHeight="1">
      <c r="A3" s="2832" t="s">
        <v>220</v>
      </c>
      <c r="B3" s="2832"/>
      <c r="C3" s="2832"/>
      <c r="D3" s="2832"/>
      <c r="E3" s="2832"/>
      <c r="F3" s="2832"/>
      <c r="G3" s="233"/>
      <c r="H3" s="233"/>
    </row>
    <row r="4" spans="1:17">
      <c r="A4" s="14"/>
      <c r="B4" s="188"/>
      <c r="C4" s="188"/>
      <c r="D4" s="188"/>
    </row>
    <row r="5" spans="1:17" ht="13.15" customHeight="1">
      <c r="A5" s="28" t="s">
        <v>2272</v>
      </c>
      <c r="D5" s="228"/>
      <c r="E5" s="2835" t="s">
        <v>965</v>
      </c>
      <c r="F5" s="2836"/>
      <c r="G5" s="165"/>
    </row>
    <row r="6" spans="1:17">
      <c r="E6" s="2836"/>
      <c r="F6" s="2836"/>
      <c r="G6" s="165"/>
    </row>
    <row r="7" spans="1:17">
      <c r="A7" s="28" t="s">
        <v>2480</v>
      </c>
      <c r="C7" s="28" t="s">
        <v>2481</v>
      </c>
      <c r="D7" s="229"/>
      <c r="E7" s="2836"/>
      <c r="F7" s="2836"/>
      <c r="G7" s="165"/>
    </row>
    <row r="8" spans="1:17">
      <c r="C8" s="28" t="s">
        <v>2482</v>
      </c>
      <c r="D8" s="229"/>
      <c r="E8" s="2836"/>
      <c r="F8" s="2836"/>
      <c r="G8" s="165"/>
    </row>
    <row r="9" spans="1:17">
      <c r="C9" s="28" t="s">
        <v>2483</v>
      </c>
      <c r="D9" s="229"/>
      <c r="E9" s="2836"/>
      <c r="F9" s="2836"/>
      <c r="G9" s="165"/>
    </row>
    <row r="10" spans="1:17">
      <c r="C10" s="28" t="s">
        <v>2496</v>
      </c>
      <c r="D10" s="234">
        <f>D7+D8+D9</f>
        <v>0</v>
      </c>
      <c r="E10" s="2836"/>
      <c r="F10" s="2836"/>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3" t="s">
        <v>1730</v>
      </c>
      <c r="B24" s="2833"/>
      <c r="C24" s="2833"/>
      <c r="D24" s="2833"/>
      <c r="E24" s="2833"/>
      <c r="F24" s="2833"/>
      <c r="J24" s="237"/>
    </row>
    <row r="25" spans="1:10">
      <c r="C25" s="198"/>
      <c r="J25" s="237"/>
    </row>
    <row r="26" spans="1:10">
      <c r="A26" s="107"/>
      <c r="B26" s="83"/>
      <c r="C26" s="2837" t="s">
        <v>2271</v>
      </c>
      <c r="D26" s="232"/>
      <c r="E26" s="83"/>
      <c r="F26" s="2837" t="s">
        <v>2271</v>
      </c>
      <c r="J26" s="237"/>
    </row>
    <row r="27" spans="1:10">
      <c r="A27" s="238" t="s">
        <v>2497</v>
      </c>
      <c r="B27" s="74" t="s">
        <v>1036</v>
      </c>
      <c r="C27" s="2838"/>
      <c r="D27" s="239" t="s">
        <v>2497</v>
      </c>
      <c r="E27" s="74" t="s">
        <v>1036</v>
      </c>
      <c r="F27" s="2838"/>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30" t="e">
        <f>CONCATENATE(#REF!," ",#REF!,", ",#REF!,", ",#REF!," County")</f>
        <v>#REF!</v>
      </c>
      <c r="B50" s="2830"/>
      <c r="C50" s="2830"/>
      <c r="D50" s="2830"/>
      <c r="E50" s="2830"/>
      <c r="F50" s="2830"/>
      <c r="G50" s="223"/>
      <c r="H50" s="223"/>
    </row>
    <row r="51" spans="1:10" ht="15">
      <c r="A51" s="2831" t="s">
        <v>2488</v>
      </c>
      <c r="B51" s="2831"/>
      <c r="C51" s="2831"/>
      <c r="D51" s="2831"/>
      <c r="E51" s="2831"/>
      <c r="F51" s="2831"/>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45" zoomScaleNormal="145" workbookViewId="0">
      <selection activeCell="A5"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62" t="str">
        <f>CONCATENATE("PART FOUR -  USES OF FUNDS","  -  ",'Part I-Project Information'!$O$6," ",'Part I-Project Information'!$F$34,", ",'Part I-Project Information'!F38,", ",'Part I-Project Information'!J39," County")</f>
        <v>PART FOUR -  USES OF FUNDS  -  2018-021 Grayling Place, Columbus, Muscogee County</v>
      </c>
      <c r="B1" s="2963"/>
      <c r="C1" s="2963"/>
      <c r="D1" s="2963"/>
      <c r="E1" s="2963"/>
      <c r="F1" s="2963"/>
      <c r="G1" s="2963"/>
      <c r="H1" s="2963"/>
      <c r="I1" s="2963"/>
      <c r="J1" s="2963"/>
      <c r="K1" s="2963"/>
      <c r="L1" s="2963"/>
      <c r="M1" s="2963"/>
      <c r="N1" s="2963"/>
      <c r="O1" s="2963"/>
      <c r="P1" s="2963"/>
      <c r="Q1" s="2963"/>
      <c r="R1" s="2963"/>
      <c r="S1" s="2963"/>
      <c r="T1" s="2963"/>
      <c r="W1" s="2964" t="str">
        <f>A1</f>
        <v>PART FOUR -  USES OF FUNDS  -  2018-021 Grayling Place, Columbus, Muscogee County</v>
      </c>
      <c r="X1" s="2964"/>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99" t="s">
        <v>273</v>
      </c>
      <c r="K5" s="2900"/>
      <c r="L5" s="360"/>
      <c r="M5" s="2928" t="s">
        <v>494</v>
      </c>
      <c r="N5" s="2929"/>
      <c r="P5" s="2899" t="s">
        <v>274</v>
      </c>
      <c r="Q5" s="2900"/>
      <c r="S5" s="2899" t="s">
        <v>275</v>
      </c>
      <c r="T5" s="2900"/>
      <c r="V5" s="438" t="str">
        <f>B5</f>
        <v>DEVELOPMENT BUDGET</v>
      </c>
    </row>
    <row r="6" spans="1:24" s="305" customFormat="1" ht="19.5" customHeight="1" thickBot="1">
      <c r="G6" s="2932" t="s">
        <v>102</v>
      </c>
      <c r="H6" s="2933"/>
      <c r="J6" s="2901"/>
      <c r="K6" s="2902"/>
      <c r="L6" s="360"/>
      <c r="M6" s="2930"/>
      <c r="N6" s="2931"/>
      <c r="P6" s="2901"/>
      <c r="Q6" s="2902"/>
      <c r="S6" s="2901"/>
      <c r="T6" s="2902"/>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2797">
        <v>5750</v>
      </c>
      <c r="H8" s="2798"/>
      <c r="J8" s="2797">
        <v>5750</v>
      </c>
      <c r="K8" s="2798"/>
      <c r="L8" s="1577"/>
      <c r="M8" s="2797"/>
      <c r="N8" s="2798"/>
      <c r="P8" s="2797"/>
      <c r="Q8" s="2798"/>
      <c r="S8" s="2797"/>
      <c r="T8" s="2798"/>
      <c r="V8" s="2345"/>
      <c r="W8" s="2839"/>
      <c r="X8" s="2840"/>
    </row>
    <row r="9" spans="1:24" s="305" customFormat="1" ht="12.6" customHeight="1">
      <c r="B9" s="305" t="s">
        <v>461</v>
      </c>
      <c r="G9" s="2767">
        <v>6500</v>
      </c>
      <c r="H9" s="2768"/>
      <c r="J9" s="2767">
        <v>6500</v>
      </c>
      <c r="K9" s="2768"/>
      <c r="L9" s="1577"/>
      <c r="M9" s="2767"/>
      <c r="N9" s="2768"/>
      <c r="P9" s="2767"/>
      <c r="Q9" s="2768"/>
      <c r="S9" s="2767"/>
      <c r="T9" s="2768"/>
      <c r="V9" s="2345"/>
      <c r="W9" s="2839"/>
      <c r="X9" s="2840"/>
    </row>
    <row r="10" spans="1:24" s="305" customFormat="1" ht="12.6" customHeight="1">
      <c r="B10" s="305" t="s">
        <v>491</v>
      </c>
      <c r="G10" s="2767">
        <v>14950</v>
      </c>
      <c r="H10" s="2768"/>
      <c r="J10" s="2767">
        <v>14950</v>
      </c>
      <c r="K10" s="2768"/>
      <c r="L10" s="1577"/>
      <c r="M10" s="2767"/>
      <c r="N10" s="2768"/>
      <c r="P10" s="2767"/>
      <c r="Q10" s="2768"/>
      <c r="S10" s="2767"/>
      <c r="T10" s="2768"/>
      <c r="V10" s="2345"/>
      <c r="W10" s="2839"/>
      <c r="X10" s="2840"/>
    </row>
    <row r="11" spans="1:24" s="305" customFormat="1" ht="12.6" customHeight="1">
      <c r="B11" s="305" t="s">
        <v>492</v>
      </c>
      <c r="G11" s="2767">
        <v>7000</v>
      </c>
      <c r="H11" s="2768"/>
      <c r="J11" s="2767">
        <v>7000</v>
      </c>
      <c r="K11" s="2768"/>
      <c r="L11" s="1577"/>
      <c r="M11" s="2767"/>
      <c r="N11" s="2768"/>
      <c r="P11" s="2767"/>
      <c r="Q11" s="2768"/>
      <c r="S11" s="2767"/>
      <c r="T11" s="2768"/>
      <c r="V11" s="2345"/>
      <c r="W11" s="2839"/>
      <c r="X11" s="2840"/>
    </row>
    <row r="12" spans="1:24" s="305" customFormat="1" ht="12.6" customHeight="1">
      <c r="B12" s="305" t="s">
        <v>2517</v>
      </c>
      <c r="G12" s="2767">
        <v>18070</v>
      </c>
      <c r="H12" s="2768"/>
      <c r="J12" s="2767">
        <v>18070</v>
      </c>
      <c r="K12" s="2768"/>
      <c r="L12" s="1577"/>
      <c r="M12" s="2767"/>
      <c r="N12" s="2768"/>
      <c r="P12" s="2767"/>
      <c r="Q12" s="2768"/>
      <c r="S12" s="2767"/>
      <c r="T12" s="2768"/>
      <c r="V12" s="2345"/>
      <c r="W12" s="2839"/>
      <c r="X12" s="2840"/>
    </row>
    <row r="13" spans="1:24" s="305" customFormat="1" ht="12.6" customHeight="1">
      <c r="B13" s="305" t="s">
        <v>192</v>
      </c>
      <c r="G13" s="2767">
        <v>4000</v>
      </c>
      <c r="H13" s="2768"/>
      <c r="J13" s="2767">
        <v>4000</v>
      </c>
      <c r="K13" s="2768"/>
      <c r="L13" s="1577"/>
      <c r="M13" s="2767"/>
      <c r="N13" s="2768"/>
      <c r="P13" s="2767"/>
      <c r="Q13" s="2768"/>
      <c r="S13" s="2767"/>
      <c r="T13" s="2768"/>
      <c r="V13" s="2345"/>
      <c r="W13" s="2839"/>
      <c r="X13" s="2840"/>
    </row>
    <row r="14" spans="1:24" s="305" customFormat="1" ht="12.6" customHeight="1">
      <c r="A14" s="387" t="str">
        <f>IF(AND(G14&gt;0,OR(C14="",C14="&lt;Enter detailed description here; use Comments section if needed&gt;")),"X","")</f>
        <v/>
      </c>
      <c r="B14" s="305" t="s">
        <v>749</v>
      </c>
      <c r="C14" s="2911" t="s">
        <v>4731</v>
      </c>
      <c r="D14" s="2911"/>
      <c r="E14" s="2911"/>
      <c r="F14" s="2912"/>
      <c r="G14" s="2767">
        <v>12880</v>
      </c>
      <c r="H14" s="2768"/>
      <c r="J14" s="2767">
        <v>12880</v>
      </c>
      <c r="K14" s="2768"/>
      <c r="L14" s="1577"/>
      <c r="M14" s="2767"/>
      <c r="N14" s="2768"/>
      <c r="P14" s="2767"/>
      <c r="Q14" s="2768"/>
      <c r="S14" s="2767"/>
      <c r="T14" s="2768"/>
      <c r="U14" s="386" t="str">
        <f>IF(AND(G14&gt;0,OR(C14="",C14="&lt;Enter detailed description here; use Comments section if needed&gt;")),"NO DESCRIPTION PROVIDED - please enter detailed description in Other box at left; use Comments section below if needed.","")</f>
        <v/>
      </c>
      <c r="V14" s="2346"/>
      <c r="W14" s="2839"/>
      <c r="X14" s="2840"/>
    </row>
    <row r="15" spans="1:24" s="305" customFormat="1" ht="12.6" customHeight="1">
      <c r="A15" s="387" t="str">
        <f>IF(AND(G15&gt;0,OR(C15="",C15="&lt;Enter detailed description here; use Comments section if needed&gt;")),"X","")</f>
        <v/>
      </c>
      <c r="B15" s="305" t="s">
        <v>749</v>
      </c>
      <c r="C15" s="2911" t="s">
        <v>3740</v>
      </c>
      <c r="D15" s="2911"/>
      <c r="E15" s="2911"/>
      <c r="F15" s="2912"/>
      <c r="G15" s="2767"/>
      <c r="H15" s="2768"/>
      <c r="J15" s="2767"/>
      <c r="K15" s="2768"/>
      <c r="L15" s="1577"/>
      <c r="M15" s="2767"/>
      <c r="N15" s="2768"/>
      <c r="P15" s="2767"/>
      <c r="Q15" s="2768"/>
      <c r="S15" s="2767"/>
      <c r="T15" s="2768"/>
      <c r="U15" s="386" t="str">
        <f>IF(AND(G15&gt;0,OR(C15="",C15="&lt;Enter detailed description here; use Comments section if needed&gt;")),"NO DESCRIPTION PROVIDED - please enter detailed description in Other box at left; use Comments section below if needed.","")</f>
        <v/>
      </c>
      <c r="V15" s="2346"/>
      <c r="W15" s="2839"/>
      <c r="X15" s="2840"/>
    </row>
    <row r="16" spans="1:24" s="305" customFormat="1" ht="12.6" customHeight="1" thickBot="1">
      <c r="A16" s="387" t="str">
        <f>IF(AND(G16&gt;0,OR(C16="",C16="&lt;Enter detailed description here; use Comments section if needed&gt;")),"X","")</f>
        <v/>
      </c>
      <c r="B16" s="305" t="s">
        <v>749</v>
      </c>
      <c r="C16" s="2911" t="s">
        <v>3740</v>
      </c>
      <c r="D16" s="2911"/>
      <c r="E16" s="2911"/>
      <c r="F16" s="2912"/>
      <c r="G16" s="2918"/>
      <c r="H16" s="2919"/>
      <c r="J16" s="2918"/>
      <c r="K16" s="2919"/>
      <c r="L16" s="1577"/>
      <c r="M16" s="2918"/>
      <c r="N16" s="2919"/>
      <c r="P16" s="2918"/>
      <c r="Q16" s="2919"/>
      <c r="S16" s="2918"/>
      <c r="T16" s="2919"/>
      <c r="U16" s="386" t="str">
        <f>IF(AND(G16&gt;0,OR(C16="",C16="&lt;Enter detailed description here; use Comments section if needed&gt;")),"NO DESCRIPTION PROVIDED - please enter detailed description in Other box at left; use Comments section below if needed.","")</f>
        <v/>
      </c>
      <c r="V16" s="2346"/>
      <c r="W16" s="2841"/>
      <c r="X16" s="2842"/>
    </row>
    <row r="17" spans="2:24" s="305" customFormat="1" ht="12.6" customHeight="1" thickTop="1">
      <c r="F17" s="361" t="s">
        <v>193</v>
      </c>
      <c r="G17" s="2913">
        <f>SUM(G8:H16)</f>
        <v>69150</v>
      </c>
      <c r="H17" s="2914"/>
      <c r="J17" s="2913">
        <f>SUM(J8:K16)</f>
        <v>69150</v>
      </c>
      <c r="K17" s="2961"/>
      <c r="L17" s="1577"/>
      <c r="M17" s="2913">
        <f>SUM(M8:N16)</f>
        <v>0</v>
      </c>
      <c r="N17" s="2914"/>
      <c r="P17" s="2913">
        <f>SUM(P8:Q16)</f>
        <v>0</v>
      </c>
      <c r="Q17" s="2914"/>
      <c r="S17" s="2913">
        <f>SUM(S8:T16)</f>
        <v>0</v>
      </c>
      <c r="T17" s="2914"/>
      <c r="V17" s="2347">
        <f>SUM(V8:V16)</f>
        <v>0</v>
      </c>
      <c r="W17" s="2843"/>
      <c r="X17" s="2844"/>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2797">
        <v>2500000</v>
      </c>
      <c r="H19" s="2798"/>
      <c r="J19" s="363"/>
      <c r="K19" s="360"/>
      <c r="L19" s="363"/>
      <c r="M19" s="363"/>
      <c r="N19" s="360"/>
      <c r="P19" s="363"/>
      <c r="Q19" s="360"/>
      <c r="S19" s="2797">
        <v>2500000</v>
      </c>
      <c r="T19" s="2798"/>
      <c r="V19" s="2345"/>
      <c r="W19" s="2839"/>
      <c r="X19" s="2840"/>
    </row>
    <row r="20" spans="2:24" s="305" customFormat="1" ht="12.6" customHeight="1">
      <c r="B20" s="305" t="s">
        <v>1129</v>
      </c>
      <c r="G20" s="2767">
        <v>3000</v>
      </c>
      <c r="H20" s="2768"/>
      <c r="J20" s="363"/>
      <c r="K20" s="360"/>
      <c r="L20" s="363"/>
      <c r="M20" s="363"/>
      <c r="N20" s="360"/>
      <c r="P20" s="363"/>
      <c r="Q20" s="360"/>
      <c r="S20" s="2767">
        <v>3000</v>
      </c>
      <c r="T20" s="2768"/>
      <c r="V20" s="2345"/>
      <c r="W20" s="2839"/>
      <c r="X20" s="2840"/>
    </row>
    <row r="21" spans="2:24" s="305" customFormat="1" ht="12.6" customHeight="1">
      <c r="B21" s="305" t="s">
        <v>462</v>
      </c>
      <c r="G21" s="2767"/>
      <c r="H21" s="2768"/>
      <c r="J21" s="363"/>
      <c r="K21" s="360"/>
      <c r="L21" s="363"/>
      <c r="M21" s="2797"/>
      <c r="N21" s="2798"/>
      <c r="P21" s="363"/>
      <c r="Q21" s="360"/>
      <c r="S21" s="2767"/>
      <c r="T21" s="2768"/>
      <c r="V21" s="2345"/>
      <c r="W21" s="2839"/>
      <c r="X21" s="2840"/>
    </row>
    <row r="22" spans="2:24" s="305" customFormat="1" ht="12.6" customHeight="1" thickBot="1">
      <c r="B22" s="305" t="s">
        <v>432</v>
      </c>
      <c r="G22" s="2918"/>
      <c r="H22" s="2919"/>
      <c r="J22" s="363"/>
      <c r="K22" s="360"/>
      <c r="L22" s="363"/>
      <c r="M22" s="2918"/>
      <c r="N22" s="2919"/>
      <c r="P22" s="363"/>
      <c r="Q22" s="360"/>
      <c r="S22" s="2918"/>
      <c r="T22" s="2919"/>
      <c r="V22" s="2345"/>
      <c r="W22" s="2841"/>
      <c r="X22" s="2842"/>
    </row>
    <row r="23" spans="2:24" s="305" customFormat="1" ht="12.6" customHeight="1" thickTop="1">
      <c r="F23" s="361" t="s">
        <v>193</v>
      </c>
      <c r="G23" s="2913">
        <f>SUM(G19:H22)</f>
        <v>2503000</v>
      </c>
      <c r="H23" s="2914"/>
      <c r="J23" s="363"/>
      <c r="K23" s="360"/>
      <c r="L23" s="363"/>
      <c r="M23" s="2913">
        <f>SUM(M21:N22)</f>
        <v>0</v>
      </c>
      <c r="N23" s="2914"/>
      <c r="P23" s="363"/>
      <c r="Q23" s="360"/>
      <c r="S23" s="2913">
        <f>SUM(S19:T22)</f>
        <v>2503000</v>
      </c>
      <c r="T23" s="2914"/>
      <c r="V23" s="2347">
        <f>SUM(V19:V22)</f>
        <v>0</v>
      </c>
      <c r="W23" s="2843"/>
      <c r="X23" s="2844"/>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216278.06563039724</v>
      </c>
      <c r="G25" s="2797">
        <v>1252250</v>
      </c>
      <c r="H25" s="2798"/>
      <c r="J25" s="2797">
        <v>1252250</v>
      </c>
      <c r="K25" s="2798"/>
      <c r="L25" s="1577"/>
      <c r="M25" s="2959"/>
      <c r="N25" s="2960"/>
      <c r="P25" s="2959"/>
      <c r="Q25" s="2960"/>
      <c r="S25" s="2797"/>
      <c r="T25" s="2798"/>
      <c r="V25" s="2345"/>
      <c r="W25" s="2839"/>
      <c r="X25" s="2840"/>
    </row>
    <row r="26" spans="2:24" s="305" customFormat="1" ht="12.6" customHeight="1" thickBot="1">
      <c r="B26" s="305" t="s">
        <v>1132</v>
      </c>
      <c r="G26" s="2918"/>
      <c r="H26" s="2919"/>
      <c r="J26" s="2918"/>
      <c r="K26" s="2919"/>
      <c r="L26" s="364"/>
      <c r="M26" s="2958"/>
      <c r="N26" s="2958"/>
      <c r="P26" s="2958"/>
      <c r="Q26" s="2958"/>
      <c r="S26" s="2918"/>
      <c r="T26" s="2919"/>
      <c r="V26" s="2345"/>
      <c r="W26" s="2841"/>
      <c r="X26" s="2842"/>
    </row>
    <row r="27" spans="2:24" s="305" customFormat="1" ht="12.6" customHeight="1" thickTop="1">
      <c r="F27" s="361" t="s">
        <v>193</v>
      </c>
      <c r="G27" s="2913">
        <f>SUM(G25:H26)</f>
        <v>1252250</v>
      </c>
      <c r="H27" s="2914"/>
      <c r="J27" s="2913">
        <f>SUM(J25:K26)</f>
        <v>1252250</v>
      </c>
      <c r="K27" s="2914"/>
      <c r="L27" s="363"/>
      <c r="M27" s="2913">
        <f>M25</f>
        <v>0</v>
      </c>
      <c r="N27" s="2914"/>
      <c r="P27" s="2913">
        <f>P25</f>
        <v>0</v>
      </c>
      <c r="Q27" s="2914"/>
      <c r="S27" s="2913">
        <f>SUM(S25:T26)</f>
        <v>0</v>
      </c>
      <c r="T27" s="2914"/>
      <c r="V27" s="2347">
        <f>SUM(V25:V26)</f>
        <v>0</v>
      </c>
      <c r="W27" s="2843"/>
      <c r="X27" s="2844"/>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97">
        <v>7044175</v>
      </c>
      <c r="H29" s="2798"/>
      <c r="J29" s="2797">
        <v>7044175</v>
      </c>
      <c r="K29" s="2798"/>
      <c r="L29" s="1577"/>
      <c r="M29" s="2797"/>
      <c r="N29" s="2798"/>
      <c r="P29" s="2797"/>
      <c r="Q29" s="2798"/>
      <c r="S29" s="2797"/>
      <c r="T29" s="2798"/>
      <c r="V29" s="2345"/>
      <c r="W29" s="2839"/>
      <c r="X29" s="2840"/>
    </row>
    <row r="30" spans="2:24" s="305" customFormat="1" ht="12.6" customHeight="1">
      <c r="B30" s="305" t="s">
        <v>1135</v>
      </c>
      <c r="G30" s="2767"/>
      <c r="H30" s="2768"/>
      <c r="J30" s="2767"/>
      <c r="K30" s="2768"/>
      <c r="L30" s="1577"/>
      <c r="M30" s="2767"/>
      <c r="N30" s="2768"/>
      <c r="P30" s="2767"/>
      <c r="Q30" s="2768"/>
      <c r="S30" s="2767"/>
      <c r="T30" s="2768"/>
      <c r="V30" s="2345"/>
      <c r="W30" s="2839"/>
      <c r="X30" s="2840"/>
    </row>
    <row r="31" spans="2:24" s="305" customFormat="1" ht="12.6" customHeight="1">
      <c r="B31" s="305" t="s">
        <v>2800</v>
      </c>
      <c r="G31" s="2767"/>
      <c r="H31" s="2768"/>
      <c r="J31" s="2767"/>
      <c r="K31" s="2768"/>
      <c r="L31" s="1577"/>
      <c r="M31" s="2767"/>
      <c r="N31" s="2768"/>
      <c r="P31" s="2767"/>
      <c r="Q31" s="2768"/>
      <c r="S31" s="2767"/>
      <c r="T31" s="2768"/>
      <c r="V31" s="2345"/>
      <c r="W31" s="2839"/>
      <c r="X31" s="2840"/>
    </row>
    <row r="32" spans="2:24" ht="12.6" customHeight="1" thickBot="1">
      <c r="B32" s="305" t="s">
        <v>2799</v>
      </c>
      <c r="G32" s="2918"/>
      <c r="H32" s="2919"/>
      <c r="I32" s="305"/>
      <c r="J32" s="2918"/>
      <c r="K32" s="2919"/>
      <c r="L32" s="1577"/>
      <c r="M32" s="2918"/>
      <c r="N32" s="2919"/>
      <c r="O32" s="305"/>
      <c r="P32" s="2918"/>
      <c r="Q32" s="2919"/>
      <c r="R32" s="305"/>
      <c r="S32" s="2918"/>
      <c r="T32" s="2919"/>
      <c r="V32" s="2345"/>
      <c r="W32" s="2841"/>
      <c r="X32" s="2842"/>
    </row>
    <row r="33" spans="1:24" s="305" customFormat="1" ht="12.6" customHeight="1" thickTop="1">
      <c r="C33" s="2957"/>
      <c r="D33" s="2957"/>
      <c r="E33" s="1581"/>
      <c r="F33" s="361" t="s">
        <v>193</v>
      </c>
      <c r="G33" s="2913">
        <f>SUM(G29:H32)</f>
        <v>7044175</v>
      </c>
      <c r="H33" s="2914"/>
      <c r="J33" s="2913">
        <f>SUM(J29:K32)</f>
        <v>7044175</v>
      </c>
      <c r="K33" s="2914"/>
      <c r="L33" s="1577"/>
      <c r="M33" s="2913">
        <f>SUM(M29:N32)</f>
        <v>0</v>
      </c>
      <c r="N33" s="2914"/>
      <c r="P33" s="2913">
        <f>SUM(P29:Q32)</f>
        <v>0</v>
      </c>
      <c r="Q33" s="2914"/>
      <c r="S33" s="2913">
        <f>SUM(S29:T32)</f>
        <v>0</v>
      </c>
      <c r="T33" s="2914"/>
      <c r="V33" s="2347">
        <f>SUM(V29:V32)</f>
        <v>0</v>
      </c>
      <c r="W33" s="2843"/>
      <c r="X33" s="2844"/>
    </row>
    <row r="34" spans="1:24" s="305" customFormat="1" ht="12" customHeight="1">
      <c r="B34" s="307" t="s">
        <v>2360</v>
      </c>
      <c r="D34" s="2956" t="s">
        <v>3760</v>
      </c>
      <c r="E34" s="2956"/>
      <c r="F34" s="1044">
        <f>SUM(F35:F37)</f>
        <v>0.13999981919923341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497785.5</v>
      </c>
      <c r="F35" s="1045">
        <f>IF(($G$27+$G$33)=0,0,G35/($G$27+$G$33))</f>
        <v>5.9999939733077802E-2</v>
      </c>
      <c r="G35" s="2797">
        <v>497785</v>
      </c>
      <c r="H35" s="2798"/>
      <c r="I35" s="324"/>
      <c r="J35" s="2797">
        <v>497785</v>
      </c>
      <c r="K35" s="2798"/>
      <c r="L35" s="1577"/>
      <c r="M35" s="2797"/>
      <c r="N35" s="2798"/>
      <c r="P35" s="2797"/>
      <c r="Q35" s="2798"/>
      <c r="S35" s="2797"/>
      <c r="T35" s="2798"/>
      <c r="V35" s="2345"/>
      <c r="W35" s="2839"/>
      <c r="X35" s="2840"/>
    </row>
    <row r="36" spans="1:24" s="305" customFormat="1" ht="12.6" customHeight="1">
      <c r="B36" s="305" t="s">
        <v>2756</v>
      </c>
      <c r="D36" s="1047">
        <f>'DCA Underwriting Assumptions'!$R$75</f>
        <v>0.02</v>
      </c>
      <c r="E36" s="1048">
        <f>D36*(G27+G33)</f>
        <v>165928.5</v>
      </c>
      <c r="F36" s="1045">
        <f>IF(($G$27+$G$33)=0,0,G36/($G$27+$G$33))</f>
        <v>1.9999939733077801E-2</v>
      </c>
      <c r="G36" s="2767">
        <v>165928</v>
      </c>
      <c r="H36" s="2768"/>
      <c r="I36" s="324"/>
      <c r="J36" s="2767">
        <v>165928</v>
      </c>
      <c r="K36" s="2768"/>
      <c r="L36" s="1577"/>
      <c r="M36" s="2767"/>
      <c r="N36" s="2768"/>
      <c r="P36" s="2767"/>
      <c r="Q36" s="2768"/>
      <c r="S36" s="2767"/>
      <c r="T36" s="2768"/>
      <c r="V36" s="2345"/>
      <c r="W36" s="2839"/>
      <c r="X36" s="2840"/>
    </row>
    <row r="37" spans="1:24" s="305" customFormat="1" ht="12.6" customHeight="1" thickBot="1">
      <c r="B37" s="305" t="s">
        <v>2757</v>
      </c>
      <c r="D37" s="1051">
        <f>'DCA Underwriting Assumptions'!$R$76</f>
        <v>0.06</v>
      </c>
      <c r="E37" s="1052">
        <f>D37*(G27+G33)</f>
        <v>497785.5</v>
      </c>
      <c r="F37" s="1367">
        <f>IF(($G$27+$G$33)=0,0,G37/($G$27+$G$33))</f>
        <v>5.9999939733077802E-2</v>
      </c>
      <c r="G37" s="2918">
        <v>497785</v>
      </c>
      <c r="H37" s="2919"/>
      <c r="I37" s="324"/>
      <c r="J37" s="2918">
        <v>497785</v>
      </c>
      <c r="K37" s="2919"/>
      <c r="L37" s="1577"/>
      <c r="M37" s="2918"/>
      <c r="N37" s="2919"/>
      <c r="P37" s="2918"/>
      <c r="Q37" s="2919"/>
      <c r="S37" s="2918"/>
      <c r="T37" s="2919"/>
      <c r="V37" s="2345"/>
      <c r="W37" s="2841"/>
      <c r="X37" s="2842"/>
    </row>
    <row r="38" spans="1:24" s="305" customFormat="1" ht="12.6" customHeight="1" thickTop="1">
      <c r="B38" s="179" t="s">
        <v>3761</v>
      </c>
      <c r="D38" s="1049">
        <f>SUM(D35:D37)</f>
        <v>0.14000000000000001</v>
      </c>
      <c r="E38" s="1050">
        <f>SUM(E35:E37)</f>
        <v>1161499.5</v>
      </c>
      <c r="F38" s="1031" t="s">
        <v>193</v>
      </c>
      <c r="G38" s="2913">
        <f>SUM(G35:H37)</f>
        <v>1161498</v>
      </c>
      <c r="H38" s="2914"/>
      <c r="J38" s="2913">
        <f>SUM(J35:K37)</f>
        <v>1161498</v>
      </c>
      <c r="K38" s="2914"/>
      <c r="L38" s="363"/>
      <c r="M38" s="2913">
        <f>SUM(M35:N37)</f>
        <v>0</v>
      </c>
      <c r="N38" s="2914"/>
      <c r="P38" s="2913">
        <f>SUM(P35:Q37)</f>
        <v>0</v>
      </c>
      <c r="Q38" s="2914"/>
      <c r="S38" s="2913">
        <f>SUM(S35:T37)</f>
        <v>0</v>
      </c>
      <c r="T38" s="2914"/>
      <c r="V38" s="2347">
        <f>SUM(V35:V37)</f>
        <v>0</v>
      </c>
      <c r="W38" s="2843"/>
      <c r="X38" s="2844"/>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2761</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911" t="s">
        <v>3740</v>
      </c>
      <c r="D41" s="2954"/>
      <c r="E41" s="2954"/>
      <c r="F41" s="2955"/>
      <c r="G41" s="2936"/>
      <c r="H41" s="2937"/>
      <c r="I41" s="305"/>
      <c r="J41" s="2936"/>
      <c r="K41" s="2937"/>
      <c r="L41" s="1577"/>
      <c r="M41" s="2936"/>
      <c r="N41" s="2937"/>
      <c r="O41" s="305"/>
      <c r="P41" s="2936"/>
      <c r="Q41" s="2937"/>
      <c r="R41" s="305"/>
      <c r="S41" s="2936"/>
      <c r="T41" s="2937"/>
      <c r="V41" s="2345"/>
      <c r="W41" s="2942"/>
      <c r="X41" s="294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944"/>
      <c r="X42" s="2945"/>
    </row>
    <row r="43" spans="1:24" s="305" customFormat="1" ht="12.6" customHeight="1">
      <c r="B43" s="529" t="s">
        <v>2765</v>
      </c>
      <c r="C43" s="530"/>
      <c r="E43" s="2948" t="s">
        <v>2764</v>
      </c>
      <c r="F43" s="1579">
        <f>B44/'Part VI-Revenues &amp; Expenses'!$O$60</f>
        <v>112594.32142857143</v>
      </c>
      <c r="G43" s="1580" t="s">
        <v>2791</v>
      </c>
      <c r="H43" s="1564"/>
      <c r="I43" s="1564"/>
      <c r="J43" s="2950">
        <f>B44/'Part VI-Revenues &amp; Expenses'!$O$62</f>
        <v>112594.32142857143</v>
      </c>
      <c r="K43" s="2950"/>
      <c r="L43" s="1564"/>
      <c r="M43" s="2951" t="s">
        <v>1414</v>
      </c>
      <c r="N43" s="2951"/>
      <c r="O43" s="1564"/>
      <c r="P43" s="2950">
        <f>B44/'Part I-Project Information'!$P$71</f>
        <v>99.651490886102621</v>
      </c>
      <c r="Q43" s="2950"/>
      <c r="R43" s="1564"/>
      <c r="S43" s="2952" t="s">
        <v>2798</v>
      </c>
      <c r="T43" s="2953"/>
      <c r="V43" s="1176"/>
      <c r="W43" s="2944"/>
      <c r="X43" s="2945"/>
    </row>
    <row r="44" spans="1:24" s="305" customFormat="1" ht="12.6" customHeight="1">
      <c r="B44" s="2938">
        <f>G27+G33+G38+G41</f>
        <v>9457923</v>
      </c>
      <c r="C44" s="2939"/>
      <c r="E44" s="2949"/>
      <c r="F44" s="1578">
        <f>B44/'Part VI-Revenues &amp; Expenses'!$O$117</f>
        <v>102.43163948274741</v>
      </c>
      <c r="G44" s="528" t="s">
        <v>2792</v>
      </c>
      <c r="H44" s="1574"/>
      <c r="I44" s="1574"/>
      <c r="J44" s="2940">
        <f>B44/'Part VI-Revenues &amp; Expenses'!$O$119</f>
        <v>102.43163948274741</v>
      </c>
      <c r="K44" s="2940"/>
      <c r="L44" s="1574"/>
      <c r="M44" s="2941" t="s">
        <v>2797</v>
      </c>
      <c r="N44" s="2941"/>
      <c r="O44" s="1574"/>
      <c r="P44" s="1574"/>
      <c r="Q44" s="1574"/>
      <c r="R44" s="1574"/>
      <c r="S44" s="1574"/>
      <c r="T44" s="353"/>
      <c r="V44" s="1176"/>
      <c r="W44" s="2946"/>
      <c r="X44" s="294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472896.15</v>
      </c>
      <c r="F47" s="365">
        <f>G47/B44</f>
        <v>4.9999984140281117E-2</v>
      </c>
      <c r="G47" s="2936">
        <v>472896</v>
      </c>
      <c r="H47" s="2937"/>
      <c r="I47" s="305"/>
      <c r="J47" s="2936">
        <v>472896</v>
      </c>
      <c r="K47" s="2937"/>
      <c r="L47" s="1577"/>
      <c r="M47" s="2936"/>
      <c r="N47" s="2937"/>
      <c r="O47" s="305"/>
      <c r="P47" s="2936"/>
      <c r="Q47" s="2937"/>
      <c r="R47" s="305"/>
      <c r="S47" s="2936"/>
      <c r="T47" s="2937"/>
      <c r="V47" s="2345"/>
      <c r="W47" s="2839"/>
      <c r="X47" s="2840"/>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2864</v>
      </c>
      <c r="H49" s="1566"/>
      <c r="I49" s="1566"/>
      <c r="J49" s="2899" t="s">
        <v>273</v>
      </c>
      <c r="K49" s="2900"/>
      <c r="L49" s="360"/>
      <c r="M49" s="2928" t="s">
        <v>494</v>
      </c>
      <c r="N49" s="2929"/>
      <c r="P49" s="2899" t="s">
        <v>274</v>
      </c>
      <c r="Q49" s="2900"/>
      <c r="S49" s="2899" t="s">
        <v>275</v>
      </c>
      <c r="T49" s="2900"/>
      <c r="V49" s="1176"/>
      <c r="W49" s="438" t="str">
        <f>B49</f>
        <v>DEVELOPMENT BUDGET (cont'd)</v>
      </c>
    </row>
    <row r="50" spans="1:24" s="305" customFormat="1" ht="18.75" customHeight="1" thickBot="1">
      <c r="G50" s="2932" t="s">
        <v>102</v>
      </c>
      <c r="H50" s="2933"/>
      <c r="J50" s="2901"/>
      <c r="K50" s="2902"/>
      <c r="L50" s="360"/>
      <c r="M50" s="2930"/>
      <c r="N50" s="2931"/>
      <c r="P50" s="2901"/>
      <c r="Q50" s="2902"/>
      <c r="S50" s="2901"/>
      <c r="T50" s="2902"/>
      <c r="V50" s="1176"/>
      <c r="W50" s="2845" t="s">
        <v>2701</v>
      </c>
      <c r="X50" s="2845"/>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2797">
        <v>86444</v>
      </c>
      <c r="H52" s="2798"/>
      <c r="J52" s="2797">
        <v>86444</v>
      </c>
      <c r="K52" s="2798"/>
      <c r="L52" s="1577"/>
      <c r="M52" s="2797"/>
      <c r="N52" s="2798"/>
      <c r="P52" s="2797"/>
      <c r="Q52" s="2798"/>
      <c r="S52" s="2797"/>
      <c r="T52" s="2798"/>
      <c r="V52" s="2348"/>
      <c r="W52" s="2839"/>
      <c r="X52" s="2840"/>
    </row>
    <row r="53" spans="1:24" s="305" customFormat="1" ht="12" customHeight="1">
      <c r="B53" s="305" t="s">
        <v>3763</v>
      </c>
      <c r="G53" s="2767">
        <v>212525</v>
      </c>
      <c r="H53" s="2768"/>
      <c r="J53" s="2767">
        <v>162525</v>
      </c>
      <c r="K53" s="2768"/>
      <c r="L53" s="1577"/>
      <c r="M53" s="2767"/>
      <c r="N53" s="2768"/>
      <c r="P53" s="2767"/>
      <c r="Q53" s="2768"/>
      <c r="S53" s="2767">
        <v>50000</v>
      </c>
      <c r="T53" s="2768"/>
      <c r="V53" s="2348"/>
      <c r="W53" s="2839"/>
      <c r="X53" s="2840"/>
    </row>
    <row r="54" spans="1:24" s="305" customFormat="1" ht="12" customHeight="1">
      <c r="B54" s="305" t="s">
        <v>2363</v>
      </c>
      <c r="G54" s="2767">
        <v>30000</v>
      </c>
      <c r="H54" s="2768"/>
      <c r="J54" s="2767">
        <v>30000</v>
      </c>
      <c r="K54" s="2768"/>
      <c r="L54" s="1577"/>
      <c r="M54" s="2767"/>
      <c r="N54" s="2768"/>
      <c r="P54" s="2767"/>
      <c r="Q54" s="2768"/>
      <c r="S54" s="2767"/>
      <c r="T54" s="2768"/>
      <c r="V54" s="2348"/>
      <c r="W54" s="2839"/>
      <c r="X54" s="2840"/>
    </row>
    <row r="55" spans="1:24" s="305" customFormat="1" ht="12" customHeight="1">
      <c r="B55" s="305" t="s">
        <v>2364</v>
      </c>
      <c r="G55" s="2767">
        <v>110475</v>
      </c>
      <c r="H55" s="2768"/>
      <c r="J55" s="2767">
        <v>110475</v>
      </c>
      <c r="K55" s="2768"/>
      <c r="L55" s="1577"/>
      <c r="M55" s="2767"/>
      <c r="N55" s="2768"/>
      <c r="P55" s="2767"/>
      <c r="Q55" s="2768"/>
      <c r="S55" s="2767"/>
      <c r="T55" s="2768"/>
      <c r="V55" s="2348"/>
      <c r="W55" s="2839"/>
      <c r="X55" s="2840"/>
    </row>
    <row r="56" spans="1:24" s="305" customFormat="1" ht="12" customHeight="1">
      <c r="B56" s="305" t="s">
        <v>2365</v>
      </c>
      <c r="G56" s="2767">
        <v>51056</v>
      </c>
      <c r="H56" s="2768"/>
      <c r="J56" s="2767">
        <v>51056</v>
      </c>
      <c r="K56" s="2768"/>
      <c r="L56" s="1577"/>
      <c r="M56" s="2767"/>
      <c r="N56" s="2768"/>
      <c r="P56" s="2767"/>
      <c r="Q56" s="2768"/>
      <c r="S56" s="2767"/>
      <c r="T56" s="2768"/>
      <c r="V56" s="2348"/>
      <c r="W56" s="2839"/>
      <c r="X56" s="2840"/>
    </row>
    <row r="57" spans="1:24" s="305" customFormat="1" ht="12" customHeight="1">
      <c r="B57" s="305" t="s">
        <v>2705</v>
      </c>
      <c r="G57" s="2767">
        <v>11200</v>
      </c>
      <c r="H57" s="2768"/>
      <c r="J57" s="2767">
        <v>11200</v>
      </c>
      <c r="K57" s="2768"/>
      <c r="L57" s="1577"/>
      <c r="M57" s="2767"/>
      <c r="N57" s="2768"/>
      <c r="P57" s="2767"/>
      <c r="Q57" s="2768"/>
      <c r="S57" s="2767"/>
      <c r="T57" s="2768"/>
      <c r="V57" s="2348"/>
      <c r="W57" s="2839"/>
      <c r="X57" s="2840"/>
    </row>
    <row r="58" spans="1:24" s="305" customFormat="1" ht="12" customHeight="1">
      <c r="B58" s="305" t="s">
        <v>731</v>
      </c>
      <c r="G58" s="2767">
        <v>10000</v>
      </c>
      <c r="H58" s="2768"/>
      <c r="J58" s="2767">
        <v>10000</v>
      </c>
      <c r="K58" s="2768"/>
      <c r="L58" s="1577"/>
      <c r="M58" s="2767"/>
      <c r="N58" s="2768"/>
      <c r="P58" s="2767"/>
      <c r="Q58" s="2768"/>
      <c r="S58" s="2767"/>
      <c r="T58" s="2768"/>
      <c r="V58" s="2348"/>
      <c r="W58" s="2839"/>
      <c r="X58" s="2840"/>
    </row>
    <row r="59" spans="1:24" s="305" customFormat="1" ht="12" customHeight="1">
      <c r="B59" s="305" t="s">
        <v>2366</v>
      </c>
      <c r="G59" s="2767">
        <v>30000</v>
      </c>
      <c r="H59" s="2768"/>
      <c r="J59" s="2767">
        <v>30000</v>
      </c>
      <c r="K59" s="2768"/>
      <c r="L59" s="1577"/>
      <c r="M59" s="2767"/>
      <c r="N59" s="2768"/>
      <c r="P59" s="2767"/>
      <c r="Q59" s="2768"/>
      <c r="S59" s="2767"/>
      <c r="T59" s="2768"/>
      <c r="V59" s="2348"/>
      <c r="W59" s="2839"/>
      <c r="X59" s="2840"/>
    </row>
    <row r="60" spans="1:24" s="305" customFormat="1" ht="12" customHeight="1">
      <c r="B60" s="305" t="s">
        <v>1288</v>
      </c>
      <c r="G60" s="2767">
        <v>79500</v>
      </c>
      <c r="H60" s="2768"/>
      <c r="J60" s="2767">
        <v>70000</v>
      </c>
      <c r="K60" s="2768"/>
      <c r="L60" s="1577"/>
      <c r="M60" s="2767"/>
      <c r="N60" s="2768"/>
      <c r="P60" s="2767"/>
      <c r="Q60" s="2768"/>
      <c r="S60" s="2767">
        <v>9500</v>
      </c>
      <c r="T60" s="2768"/>
      <c r="V60" s="2348"/>
      <c r="W60" s="2839"/>
      <c r="X60" s="2840"/>
    </row>
    <row r="61" spans="1:24" s="305" customFormat="1" ht="12" customHeight="1">
      <c r="B61" s="367" t="s">
        <v>1163</v>
      </c>
      <c r="D61" s="365"/>
      <c r="E61" s="365"/>
      <c r="F61" s="366"/>
      <c r="G61" s="2767"/>
      <c r="H61" s="2768"/>
      <c r="I61" s="324"/>
      <c r="J61" s="2767"/>
      <c r="K61" s="2768"/>
      <c r="L61" s="1577"/>
      <c r="M61" s="2767"/>
      <c r="N61" s="2768"/>
      <c r="P61" s="2767"/>
      <c r="Q61" s="2768"/>
      <c r="S61" s="2767"/>
      <c r="T61" s="2768"/>
      <c r="V61" s="2348"/>
      <c r="W61" s="2839"/>
      <c r="X61" s="2840"/>
    </row>
    <row r="62" spans="1:24" s="305" customFormat="1" ht="12" customHeight="1">
      <c r="A62" s="387" t="str">
        <f>IF(AND(G62&gt;0,OR(C62="",C62="&lt;Enter detailed description here; use Comments section if needed&gt;")),"X","")</f>
        <v/>
      </c>
      <c r="B62" s="305" t="s">
        <v>749</v>
      </c>
      <c r="C62" s="2924" t="s">
        <v>3740</v>
      </c>
      <c r="D62" s="2924"/>
      <c r="E62" s="2924"/>
      <c r="F62" s="2925"/>
      <c r="G62" s="2767"/>
      <c r="H62" s="2768"/>
      <c r="J62" s="2767"/>
      <c r="K62" s="2768"/>
      <c r="L62" s="1577"/>
      <c r="M62" s="2767"/>
      <c r="N62" s="2768"/>
      <c r="P62" s="2767"/>
      <c r="Q62" s="2768"/>
      <c r="S62" s="2767"/>
      <c r="T62" s="2768"/>
      <c r="U62" s="386" t="str">
        <f>IF(AND(G62&gt;0,OR(C62="",C62="&lt;Enter detailed description here; use Comments section if needed&gt;")),"NO DESCRIPTION PROVIDED - please enter detailed description in Other box at left; use Comments section below if needed.","")</f>
        <v/>
      </c>
      <c r="V62" s="2348"/>
      <c r="W62" s="2839"/>
      <c r="X62" s="2840"/>
    </row>
    <row r="63" spans="1:24" s="305" customFormat="1" ht="12" customHeight="1" thickBot="1">
      <c r="A63" s="387" t="str">
        <f>IF(AND(G63&gt;0,OR(C63="",C63="&lt;Enter detailed description here; use Comments section if needed&gt;")),"X","")</f>
        <v/>
      </c>
      <c r="B63" s="305" t="s">
        <v>749</v>
      </c>
      <c r="C63" s="2926" t="s">
        <v>4613</v>
      </c>
      <c r="D63" s="2926"/>
      <c r="E63" s="2926"/>
      <c r="F63" s="2927"/>
      <c r="G63" s="2779">
        <v>4500</v>
      </c>
      <c r="H63" s="2780"/>
      <c r="J63" s="2779">
        <v>4500</v>
      </c>
      <c r="K63" s="2780"/>
      <c r="L63" s="1577"/>
      <c r="M63" s="2779"/>
      <c r="N63" s="2780"/>
      <c r="P63" s="2779"/>
      <c r="Q63" s="2780"/>
      <c r="S63" s="2779"/>
      <c r="T63" s="2780"/>
      <c r="U63" s="386" t="str">
        <f>IF(AND(G63&gt;0,OR(C63="",C63="&lt;Enter detailed description here; use Comments section if needed&gt;")),"NO DESCRIPTION PROVIDED - please enter detailed description in Other box at left; use Comments section below if needed.","")</f>
        <v/>
      </c>
      <c r="V63" s="2348"/>
      <c r="W63" s="2841"/>
      <c r="X63" s="2842"/>
    </row>
    <row r="64" spans="1:24" s="305" customFormat="1" ht="12" customHeight="1" thickTop="1">
      <c r="F64" s="361" t="s">
        <v>193</v>
      </c>
      <c r="G64" s="2913">
        <f>SUM(G52:H63)</f>
        <v>625700</v>
      </c>
      <c r="H64" s="2914"/>
      <c r="J64" s="2913">
        <f>SUM(J52:K63)</f>
        <v>566200</v>
      </c>
      <c r="K64" s="2914"/>
      <c r="L64" s="363"/>
      <c r="M64" s="2913">
        <f>SUM(M52:N63)</f>
        <v>0</v>
      </c>
      <c r="N64" s="2914"/>
      <c r="P64" s="2913">
        <f>SUM(P52:Q63)</f>
        <v>0</v>
      </c>
      <c r="Q64" s="2914"/>
      <c r="S64" s="2913">
        <f>SUM(S52:T63)</f>
        <v>59500</v>
      </c>
      <c r="T64" s="2914"/>
      <c r="V64" s="2349">
        <f>SUM(V52:V63)</f>
        <v>0</v>
      </c>
      <c r="W64" s="2843"/>
      <c r="X64" s="2844"/>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97">
        <v>130960</v>
      </c>
      <c r="H66" s="2798"/>
      <c r="J66" s="2797">
        <v>130960</v>
      </c>
      <c r="K66" s="2798"/>
      <c r="L66" s="1577"/>
      <c r="M66" s="2797"/>
      <c r="N66" s="2798"/>
      <c r="P66" s="2797"/>
      <c r="Q66" s="2798"/>
      <c r="S66" s="2797"/>
      <c r="T66" s="2798"/>
      <c r="V66" s="2345"/>
      <c r="W66" s="2839"/>
      <c r="X66" s="2840"/>
    </row>
    <row r="67" spans="1:24" s="305" customFormat="1" ht="12" customHeight="1">
      <c r="B67" s="305" t="s">
        <v>482</v>
      </c>
      <c r="G67" s="2767">
        <v>30240</v>
      </c>
      <c r="H67" s="2768"/>
      <c r="J67" s="2767">
        <v>30240</v>
      </c>
      <c r="K67" s="2768"/>
      <c r="L67" s="1577"/>
      <c r="M67" s="2767"/>
      <c r="N67" s="2768"/>
      <c r="P67" s="2767"/>
      <c r="Q67" s="2768"/>
      <c r="S67" s="2767"/>
      <c r="T67" s="2768"/>
      <c r="V67" s="2345"/>
      <c r="W67" s="2839"/>
      <c r="X67" s="2840"/>
    </row>
    <row r="68" spans="1:24" s="305" customFormat="1" ht="12" customHeight="1">
      <c r="B68" s="305" t="s">
        <v>1137</v>
      </c>
      <c r="D68" s="318" t="s">
        <v>3878</v>
      </c>
      <c r="E68" s="1167">
        <f>'DCA Underwriting Assumptions'!R77</f>
        <v>20000</v>
      </c>
      <c r="F68" s="1168" t="str">
        <f>IF(G68&gt;E68,"CHECK!!!","")</f>
        <v/>
      </c>
      <c r="G68" s="2767">
        <v>20000</v>
      </c>
      <c r="H68" s="2768"/>
      <c r="J68" s="2767">
        <v>20000</v>
      </c>
      <c r="K68" s="2768"/>
      <c r="L68" s="1577"/>
      <c r="M68" s="2767"/>
      <c r="N68" s="2768"/>
      <c r="P68" s="2767"/>
      <c r="Q68" s="2768"/>
      <c r="S68" s="2767"/>
      <c r="T68" s="2768"/>
      <c r="V68" s="2345"/>
      <c r="W68" s="2839"/>
      <c r="X68" s="2840"/>
    </row>
    <row r="69" spans="1:24" s="305" customFormat="1" ht="12" customHeight="1">
      <c r="B69" s="305" t="s">
        <v>1138</v>
      </c>
      <c r="G69" s="2767">
        <v>9000</v>
      </c>
      <c r="H69" s="2768"/>
      <c r="J69" s="2767">
        <v>9000</v>
      </c>
      <c r="K69" s="2768"/>
      <c r="L69" s="1577"/>
      <c r="M69" s="2767"/>
      <c r="N69" s="2768"/>
      <c r="P69" s="2767"/>
      <c r="Q69" s="2768"/>
      <c r="S69" s="2767"/>
      <c r="T69" s="2768"/>
      <c r="V69" s="2345"/>
      <c r="W69" s="2839"/>
      <c r="X69" s="2840"/>
    </row>
    <row r="70" spans="1:24" s="305" customFormat="1" ht="12" customHeight="1">
      <c r="B70" s="305" t="s">
        <v>1139</v>
      </c>
      <c r="G70" s="2767">
        <v>9000</v>
      </c>
      <c r="H70" s="2768"/>
      <c r="J70" s="2767">
        <v>9000</v>
      </c>
      <c r="K70" s="2768"/>
      <c r="L70" s="1577"/>
      <c r="M70" s="2767"/>
      <c r="N70" s="2768"/>
      <c r="P70" s="2767"/>
      <c r="Q70" s="2768"/>
      <c r="S70" s="2767"/>
      <c r="T70" s="2768"/>
      <c r="V70" s="2345"/>
      <c r="W70" s="2839"/>
      <c r="X70" s="2840"/>
    </row>
    <row r="71" spans="1:24" s="305" customFormat="1" ht="12" customHeight="1">
      <c r="B71" s="305" t="s">
        <v>1140</v>
      </c>
      <c r="G71" s="2767"/>
      <c r="H71" s="2768"/>
      <c r="J71" s="2767"/>
      <c r="K71" s="2768"/>
      <c r="L71" s="1577"/>
      <c r="M71" s="2767"/>
      <c r="N71" s="2768"/>
      <c r="P71" s="2767"/>
      <c r="Q71" s="2768"/>
      <c r="S71" s="2767"/>
      <c r="T71" s="2768"/>
      <c r="V71" s="2345"/>
      <c r="W71" s="2839"/>
      <c r="X71" s="2840"/>
    </row>
    <row r="72" spans="1:24" s="305" customFormat="1" ht="12" customHeight="1">
      <c r="B72" s="305" t="s">
        <v>483</v>
      </c>
      <c r="G72" s="2767">
        <v>45000</v>
      </c>
      <c r="H72" s="2768"/>
      <c r="J72" s="2767">
        <v>45000</v>
      </c>
      <c r="K72" s="2768"/>
      <c r="L72" s="1577"/>
      <c r="M72" s="2767"/>
      <c r="N72" s="2768"/>
      <c r="P72" s="2767"/>
      <c r="Q72" s="2768"/>
      <c r="S72" s="2767"/>
      <c r="T72" s="2768"/>
      <c r="V72" s="2345"/>
      <c r="W72" s="2839"/>
      <c r="X72" s="2840"/>
    </row>
    <row r="73" spans="1:24" s="305" customFormat="1" ht="12" customHeight="1">
      <c r="B73" s="305" t="s">
        <v>484</v>
      </c>
      <c r="G73" s="2767">
        <v>123300</v>
      </c>
      <c r="H73" s="2768"/>
      <c r="J73" s="2767">
        <v>123300</v>
      </c>
      <c r="K73" s="2768"/>
      <c r="L73" s="1577"/>
      <c r="M73" s="2767"/>
      <c r="N73" s="2768"/>
      <c r="P73" s="2767"/>
      <c r="Q73" s="2768"/>
      <c r="S73" s="2767"/>
      <c r="T73" s="2768"/>
      <c r="V73" s="2345"/>
      <c r="W73" s="2839"/>
      <c r="X73" s="2840"/>
    </row>
    <row r="74" spans="1:24" s="305" customFormat="1" ht="12" customHeight="1">
      <c r="B74" s="305" t="s">
        <v>2066</v>
      </c>
      <c r="G74" s="2767">
        <v>33000</v>
      </c>
      <c r="H74" s="2768"/>
      <c r="J74" s="2767">
        <v>33000</v>
      </c>
      <c r="K74" s="2768"/>
      <c r="L74" s="1577"/>
      <c r="M74" s="2767"/>
      <c r="N74" s="2768"/>
      <c r="P74" s="2767"/>
      <c r="Q74" s="2768"/>
      <c r="S74" s="2767"/>
      <c r="T74" s="2768"/>
      <c r="V74" s="2345"/>
      <c r="W74" s="2839"/>
      <c r="X74" s="2840"/>
    </row>
    <row r="75" spans="1:24" s="305" customFormat="1" ht="12" customHeight="1">
      <c r="B75" s="305" t="s">
        <v>1289</v>
      </c>
      <c r="G75" s="2767">
        <v>8200</v>
      </c>
      <c r="H75" s="2768"/>
      <c r="J75" s="2767"/>
      <c r="K75" s="2768"/>
      <c r="L75" s="1577"/>
      <c r="M75" s="2767"/>
      <c r="N75" s="2768"/>
      <c r="P75" s="2767"/>
      <c r="Q75" s="2768"/>
      <c r="S75" s="2767">
        <v>8200</v>
      </c>
      <c r="T75" s="2768"/>
      <c r="V75" s="2345"/>
      <c r="W75" s="2839"/>
      <c r="X75" s="2840"/>
    </row>
    <row r="76" spans="1:24" s="305" customFormat="1" ht="12" customHeight="1" thickBot="1">
      <c r="A76" s="387" t="str">
        <f>IF(AND(G76&gt;0,OR(C76="",C76="&lt;Enter detailed description here; use Comments section if needed&gt;")),"X","")</f>
        <v/>
      </c>
      <c r="B76" s="305" t="s">
        <v>749</v>
      </c>
      <c r="C76" s="2911" t="s">
        <v>4678</v>
      </c>
      <c r="D76" s="2911"/>
      <c r="E76" s="2911"/>
      <c r="F76" s="2912"/>
      <c r="G76" s="2779">
        <v>9000</v>
      </c>
      <c r="H76" s="2780"/>
      <c r="J76" s="2779"/>
      <c r="K76" s="2780"/>
      <c r="L76" s="1577"/>
      <c r="M76" s="2779"/>
      <c r="N76" s="2780"/>
      <c r="P76" s="2779"/>
      <c r="Q76" s="2780"/>
      <c r="S76" s="2779">
        <v>9000</v>
      </c>
      <c r="T76" s="2780"/>
      <c r="U76" s="386" t="str">
        <f>IF(AND(G76&gt;0,OR(C76="",C76="&lt;Enter detailed description here; use Comments section if needed&gt;")),"NO DESCRIPTION PROVIDED - please enter detailed description in Other box at left; use Comments section below if needed.","")</f>
        <v/>
      </c>
      <c r="V76" s="2345"/>
      <c r="W76" s="2841"/>
      <c r="X76" s="2842"/>
    </row>
    <row r="77" spans="1:24" s="305" customFormat="1" ht="12" customHeight="1" thickTop="1">
      <c r="F77" s="361" t="s">
        <v>193</v>
      </c>
      <c r="G77" s="2913">
        <f>SUM(G66:H76)</f>
        <v>417700</v>
      </c>
      <c r="H77" s="2914"/>
      <c r="J77" s="2913">
        <f>SUM(J66:K76)</f>
        <v>400500</v>
      </c>
      <c r="K77" s="2914"/>
      <c r="L77" s="363"/>
      <c r="M77" s="2913">
        <f>SUM(M66:N76)</f>
        <v>0</v>
      </c>
      <c r="N77" s="2914"/>
      <c r="P77" s="2913">
        <f>SUM(P66:Q76)</f>
        <v>0</v>
      </c>
      <c r="Q77" s="2914"/>
      <c r="S77" s="2913">
        <f>SUM(S66:T76)</f>
        <v>17200</v>
      </c>
      <c r="T77" s="2914"/>
      <c r="V77" s="2347">
        <f>SUM(V66:V76)</f>
        <v>0</v>
      </c>
      <c r="W77" s="2843"/>
      <c r="X77" s="2844"/>
    </row>
    <row r="78" spans="1:24" ht="12" customHeight="1">
      <c r="A78" s="305"/>
      <c r="B78" s="307" t="s">
        <v>1281</v>
      </c>
      <c r="C78" s="305"/>
      <c r="D78" s="969" t="s">
        <v>3764</v>
      </c>
      <c r="E78" s="1054">
        <f>G83/'Part VI-Revenues &amp; Expenses'!$O$62</f>
        <v>2617.2619047619046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97">
        <v>45000</v>
      </c>
      <c r="H79" s="2798"/>
      <c r="J79" s="2797">
        <v>45000</v>
      </c>
      <c r="K79" s="2798"/>
      <c r="L79" s="1577"/>
      <c r="M79" s="2797"/>
      <c r="N79" s="2798"/>
      <c r="P79" s="2797"/>
      <c r="Q79" s="2798"/>
      <c r="S79" s="2797"/>
      <c r="T79" s="2798"/>
      <c r="V79" s="2345"/>
      <c r="W79" s="2839"/>
      <c r="X79" s="2840"/>
    </row>
    <row r="80" spans="1:24" s="305" customFormat="1" ht="12" customHeight="1">
      <c r="B80" s="305" t="s">
        <v>1283</v>
      </c>
      <c r="G80" s="2767"/>
      <c r="H80" s="2768"/>
      <c r="J80" s="2767"/>
      <c r="K80" s="2768"/>
      <c r="L80" s="1577"/>
      <c r="M80" s="2767"/>
      <c r="N80" s="2768"/>
      <c r="P80" s="2767"/>
      <c r="Q80" s="2768"/>
      <c r="S80" s="2767"/>
      <c r="T80" s="2768"/>
      <c r="V80" s="2345"/>
      <c r="W80" s="2839"/>
      <c r="X80" s="2840"/>
    </row>
    <row r="81" spans="1:24" s="305" customFormat="1" ht="12" customHeight="1">
      <c r="B81" s="305" t="s">
        <v>1284</v>
      </c>
      <c r="D81" s="369" t="s">
        <v>1415</v>
      </c>
      <c r="E81" s="2350" t="s">
        <v>3015</v>
      </c>
      <c r="G81" s="2767">
        <v>132850</v>
      </c>
      <c r="H81" s="2768"/>
      <c r="I81" s="324"/>
      <c r="J81" s="2767">
        <v>132850</v>
      </c>
      <c r="K81" s="2768"/>
      <c r="L81" s="1577"/>
      <c r="M81" s="2767"/>
      <c r="N81" s="2768"/>
      <c r="P81" s="2767"/>
      <c r="Q81" s="2768"/>
      <c r="S81" s="2767"/>
      <c r="T81" s="2768"/>
      <c r="V81" s="2345"/>
      <c r="W81" s="2839"/>
      <c r="X81" s="2840"/>
    </row>
    <row r="82" spans="1:24" s="305" customFormat="1" ht="12" customHeight="1" thickBot="1">
      <c r="B82" s="305" t="s">
        <v>1285</v>
      </c>
      <c r="D82" s="369" t="s">
        <v>1415</v>
      </c>
      <c r="E82" s="2351" t="s">
        <v>3015</v>
      </c>
      <c r="G82" s="2779">
        <v>42000</v>
      </c>
      <c r="H82" s="2780"/>
      <c r="I82" s="324"/>
      <c r="J82" s="2779">
        <v>42000</v>
      </c>
      <c r="K82" s="2780"/>
      <c r="L82" s="1577"/>
      <c r="M82" s="2779"/>
      <c r="N82" s="2780"/>
      <c r="P82" s="2779"/>
      <c r="Q82" s="2780"/>
      <c r="S82" s="2779"/>
      <c r="T82" s="2780"/>
      <c r="V82" s="2345"/>
      <c r="W82" s="2841"/>
      <c r="X82" s="2842"/>
    </row>
    <row r="83" spans="1:24" s="305" customFormat="1" ht="12" customHeight="1" thickTop="1">
      <c r="F83" s="361" t="s">
        <v>193</v>
      </c>
      <c r="G83" s="2913">
        <f>SUM(G79:H82)</f>
        <v>219850</v>
      </c>
      <c r="H83" s="2914"/>
      <c r="J83" s="2913">
        <f>SUM(J79:K82)</f>
        <v>219850</v>
      </c>
      <c r="K83" s="2914"/>
      <c r="L83" s="363"/>
      <c r="M83" s="2913">
        <f>SUM(M79:N82)</f>
        <v>0</v>
      </c>
      <c r="N83" s="2914"/>
      <c r="P83" s="2913">
        <f>SUM(P79:Q82)</f>
        <v>0</v>
      </c>
      <c r="Q83" s="2914"/>
      <c r="S83" s="2913">
        <f>SUM(S79:T82)</f>
        <v>0</v>
      </c>
      <c r="T83" s="2914"/>
      <c r="V83" s="2347">
        <f>SUM(V79:V82)</f>
        <v>0</v>
      </c>
      <c r="W83" s="2843"/>
      <c r="X83" s="2844"/>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97">
        <v>30000</v>
      </c>
      <c r="H85" s="2798"/>
      <c r="J85" s="2923"/>
      <c r="K85" s="2923"/>
      <c r="L85" s="1577"/>
      <c r="M85" s="2923"/>
      <c r="N85" s="2923"/>
      <c r="P85" s="2923"/>
      <c r="Q85" s="2923"/>
      <c r="S85" s="2797">
        <v>30000</v>
      </c>
      <c r="T85" s="2798"/>
      <c r="V85" s="2345"/>
      <c r="W85" s="2839"/>
      <c r="X85" s="2840"/>
    </row>
    <row r="86" spans="1:24" s="305" customFormat="1" ht="12" customHeight="1">
      <c r="B86" s="305" t="s">
        <v>1287</v>
      </c>
      <c r="G86" s="2767">
        <v>35000</v>
      </c>
      <c r="H86" s="2768"/>
      <c r="J86" s="2923"/>
      <c r="K86" s="2923"/>
      <c r="L86" s="1577"/>
      <c r="M86" s="2923"/>
      <c r="N86" s="2923"/>
      <c r="P86" s="2923"/>
      <c r="Q86" s="2923"/>
      <c r="S86" s="2767">
        <v>35000</v>
      </c>
      <c r="T86" s="2768"/>
      <c r="V86" s="2345"/>
      <c r="W86" s="2839"/>
      <c r="X86" s="2840"/>
    </row>
    <row r="87" spans="1:24" s="305" customFormat="1" ht="12" customHeight="1">
      <c r="B87" s="305" t="s">
        <v>1288</v>
      </c>
      <c r="G87" s="2767">
        <v>12000</v>
      </c>
      <c r="H87" s="2768"/>
      <c r="J87" s="2923"/>
      <c r="K87" s="2923"/>
      <c r="L87" s="1577"/>
      <c r="M87" s="2923"/>
      <c r="N87" s="2923"/>
      <c r="P87" s="2923"/>
      <c r="Q87" s="2923"/>
      <c r="S87" s="2767">
        <v>12000</v>
      </c>
      <c r="T87" s="2768"/>
      <c r="V87" s="2345"/>
      <c r="W87" s="2839"/>
      <c r="X87" s="2840"/>
    </row>
    <row r="88" spans="1:24" s="305" customFormat="1" ht="12" customHeight="1">
      <c r="B88" s="305" t="s">
        <v>1290</v>
      </c>
      <c r="G88" s="2767"/>
      <c r="H88" s="2768"/>
      <c r="J88" s="2923"/>
      <c r="K88" s="2923"/>
      <c r="L88" s="1577"/>
      <c r="M88" s="2923"/>
      <c r="N88" s="2923"/>
      <c r="P88" s="2923"/>
      <c r="Q88" s="2923"/>
      <c r="S88" s="2767"/>
      <c r="T88" s="2768"/>
      <c r="V88" s="2345"/>
      <c r="W88" s="2839"/>
      <c r="X88" s="2840"/>
    </row>
    <row r="89" spans="1:24" s="305" customFormat="1" ht="12" customHeight="1">
      <c r="B89" s="305" t="s">
        <v>2315</v>
      </c>
      <c r="G89" s="2767"/>
      <c r="H89" s="2768"/>
      <c r="J89" s="2923"/>
      <c r="K89" s="2923"/>
      <c r="L89" s="1577"/>
      <c r="M89" s="2923"/>
      <c r="N89" s="2923"/>
      <c r="P89" s="2923"/>
      <c r="Q89" s="2923"/>
      <c r="S89" s="2767"/>
      <c r="T89" s="2768"/>
      <c r="V89" s="2345"/>
      <c r="W89" s="2839"/>
      <c r="X89" s="2840"/>
    </row>
    <row r="90" spans="1:24" s="305" customFormat="1" ht="12" customHeight="1" thickBot="1">
      <c r="A90" s="387" t="str">
        <f>IF(AND(G90&gt;0,OR(C90="",C90="&lt;Enter detailed description here; use Comments section if needed&gt;")),"X","")</f>
        <v/>
      </c>
      <c r="B90" s="305" t="s">
        <v>749</v>
      </c>
      <c r="C90" s="2911" t="s">
        <v>4614</v>
      </c>
      <c r="D90" s="2911"/>
      <c r="E90" s="2911"/>
      <c r="F90" s="2912"/>
      <c r="G90" s="2779">
        <v>26000</v>
      </c>
      <c r="H90" s="2780"/>
      <c r="J90" s="2923"/>
      <c r="K90" s="2923"/>
      <c r="L90" s="1577"/>
      <c r="M90" s="2923"/>
      <c r="N90" s="2923"/>
      <c r="P90" s="2923"/>
      <c r="Q90" s="2923"/>
      <c r="S90" s="2779">
        <v>26000</v>
      </c>
      <c r="T90" s="2780"/>
      <c r="U90" s="386" t="str">
        <f>IF(AND(G90&gt;0,OR(C90="",C90="&lt;Enter detailed description here; use Comments section if needed&gt;")),"NO DESCRIPTION PROVIDED - please enter detailed description in Other box at left; use Comments section below if needed.","")</f>
        <v/>
      </c>
      <c r="V90" s="2345"/>
      <c r="W90" s="2841"/>
      <c r="X90" s="2842"/>
    </row>
    <row r="91" spans="1:24" s="305" customFormat="1" ht="12" customHeight="1" thickTop="1">
      <c r="F91" s="361" t="s">
        <v>193</v>
      </c>
      <c r="G91" s="2913">
        <f>SUM(G85:H90)</f>
        <v>103000</v>
      </c>
      <c r="H91" s="2914"/>
      <c r="J91" s="2923"/>
      <c r="K91" s="2923"/>
      <c r="L91" s="363"/>
      <c r="M91" s="2923"/>
      <c r="N91" s="2923"/>
      <c r="P91" s="2923"/>
      <c r="Q91" s="2923"/>
      <c r="S91" s="2913">
        <f>SUM(S85:T90)</f>
        <v>103000</v>
      </c>
      <c r="T91" s="2914"/>
      <c r="V91" s="2347">
        <f>SUM(V85:V90)</f>
        <v>0</v>
      </c>
      <c r="W91" s="2843"/>
      <c r="X91" s="2844"/>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2863</v>
      </c>
      <c r="H93" s="1566"/>
      <c r="I93" s="1566"/>
      <c r="J93" s="2899" t="s">
        <v>273</v>
      </c>
      <c r="K93" s="2900"/>
      <c r="L93" s="360"/>
      <c r="M93" s="2928" t="s">
        <v>494</v>
      </c>
      <c r="N93" s="2929"/>
      <c r="P93" s="2899" t="s">
        <v>274</v>
      </c>
      <c r="Q93" s="2900"/>
      <c r="S93" s="2899" t="s">
        <v>275</v>
      </c>
      <c r="T93" s="2900"/>
      <c r="V93" s="438" t="str">
        <f>B93</f>
        <v>DEVELOPMENT BUDGET  (cont'd)</v>
      </c>
    </row>
    <row r="94" spans="1:24" s="305" customFormat="1" ht="18" customHeight="1" thickBot="1">
      <c r="G94" s="2932" t="s">
        <v>102</v>
      </c>
      <c r="H94" s="2933"/>
      <c r="J94" s="2901"/>
      <c r="K94" s="2902"/>
      <c r="L94" s="360"/>
      <c r="M94" s="2930"/>
      <c r="N94" s="2931"/>
      <c r="P94" s="2901"/>
      <c r="Q94" s="2902"/>
      <c r="S94" s="2901"/>
      <c r="T94" s="2902"/>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7"/>
      <c r="H96" s="2798"/>
      <c r="J96" s="363"/>
      <c r="K96" s="363"/>
      <c r="L96" s="1577"/>
      <c r="M96" s="363"/>
      <c r="N96" s="363"/>
      <c r="P96" s="363"/>
      <c r="Q96" s="363"/>
      <c r="S96" s="2797"/>
      <c r="T96" s="2798"/>
      <c r="V96" s="2345"/>
      <c r="W96" s="2839"/>
      <c r="X96" s="2840"/>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67">
        <v>6500</v>
      </c>
      <c r="H97" s="2768"/>
      <c r="J97" s="363"/>
      <c r="K97" s="363"/>
      <c r="L97" s="370"/>
      <c r="M97" s="363"/>
      <c r="N97" s="363"/>
      <c r="P97" s="363"/>
      <c r="Q97" s="363"/>
      <c r="S97" s="2767">
        <v>6500</v>
      </c>
      <c r="T97" s="2768"/>
      <c r="V97" s="2345"/>
      <c r="W97" s="2839"/>
      <c r="X97" s="2840"/>
    </row>
    <row r="98" spans="1:24" s="305" customFormat="1" ht="12.6" customHeight="1">
      <c r="B98" s="305" t="s">
        <v>3986</v>
      </c>
      <c r="G98" s="2767"/>
      <c r="H98" s="2768"/>
      <c r="J98" s="363"/>
      <c r="K98" s="363"/>
      <c r="L98" s="370"/>
      <c r="M98" s="363"/>
      <c r="N98" s="363"/>
      <c r="O98" s="1566"/>
      <c r="P98" s="363"/>
      <c r="Q98" s="363"/>
      <c r="S98" s="2767"/>
      <c r="T98" s="2768"/>
      <c r="V98" s="2345"/>
      <c r="W98" s="2839"/>
      <c r="X98" s="2840"/>
    </row>
    <row r="99" spans="1:24" s="305" customFormat="1" ht="12.6" customHeight="1">
      <c r="B99" s="305" t="s">
        <v>524</v>
      </c>
      <c r="E99" s="2934">
        <f>'DCA Underwriting Assumptions'!$Q$88*J175</f>
        <v>73865.600000000006</v>
      </c>
      <c r="F99" s="2935"/>
      <c r="G99" s="2767">
        <v>73866</v>
      </c>
      <c r="H99" s="2768"/>
      <c r="J99" s="1055" t="str">
        <f>IF(E99&gt;G99,"WARNING!  LIHTC Allocation Fee proposed is below minimum required.","")</f>
        <v/>
      </c>
      <c r="K99" s="363"/>
      <c r="L99" s="1577"/>
      <c r="M99" s="363"/>
      <c r="N99" s="363"/>
      <c r="O99" s="1566"/>
      <c r="P99" s="363"/>
      <c r="Q99" s="363"/>
      <c r="S99" s="2767">
        <v>73866</v>
      </c>
      <c r="T99" s="2768"/>
      <c r="V99" s="2345"/>
      <c r="W99" s="2839"/>
      <c r="X99" s="2840"/>
    </row>
    <row r="100" spans="1:24" s="305" customFormat="1" ht="12.6" customHeight="1">
      <c r="B100" s="305" t="s">
        <v>761</v>
      </c>
      <c r="E100" s="293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67200</v>
      </c>
      <c r="F100" s="2935"/>
      <c r="G100" s="2767">
        <v>67200</v>
      </c>
      <c r="H100" s="2768"/>
      <c r="J100" s="1055" t="str">
        <f>IF(E100&gt;G100,"WARNING!  LIHTC Compliance Fee proposed is below minimum required.","")</f>
        <v/>
      </c>
      <c r="K100" s="280"/>
      <c r="L100" s="280"/>
      <c r="M100" s="280"/>
      <c r="N100" s="280"/>
      <c r="O100" s="280"/>
      <c r="P100" s="280"/>
      <c r="Q100" s="280"/>
      <c r="S100" s="2767">
        <v>67200</v>
      </c>
      <c r="T100" s="2768"/>
      <c r="V100" s="2345"/>
      <c r="W100" s="2839"/>
      <c r="X100" s="2840"/>
    </row>
    <row r="101" spans="1:24" s="305" customFormat="1" ht="12.6" customHeight="1">
      <c r="B101" s="305" t="s">
        <v>4298</v>
      </c>
      <c r="F101" s="1387">
        <f>'DCA Underwriting Assumptions'!$Q$90</f>
        <v>3000</v>
      </c>
      <c r="G101" s="2767">
        <v>3000</v>
      </c>
      <c r="H101" s="2768"/>
      <c r="J101" s="280"/>
      <c r="K101" s="280"/>
      <c r="L101" s="280"/>
      <c r="M101" s="280"/>
      <c r="N101" s="280"/>
      <c r="O101" s="280"/>
      <c r="P101" s="280"/>
      <c r="Q101" s="280"/>
      <c r="S101" s="2767">
        <v>3000</v>
      </c>
      <c r="T101" s="2768"/>
      <c r="V101" s="2345"/>
      <c r="W101" s="2839"/>
      <c r="X101" s="2840"/>
    </row>
    <row r="102" spans="1:24" s="305" customFormat="1" ht="12.6" customHeight="1">
      <c r="B102" s="305" t="s">
        <v>4299</v>
      </c>
      <c r="F102" s="1387">
        <f>'DCA Underwriting Assumptions'!$Q$111</f>
        <v>3000</v>
      </c>
      <c r="G102" s="2767">
        <v>3000</v>
      </c>
      <c r="H102" s="2768"/>
      <c r="J102" s="280"/>
      <c r="K102" s="280"/>
      <c r="L102" s="280"/>
      <c r="M102" s="280"/>
      <c r="N102" s="280"/>
      <c r="O102" s="280"/>
      <c r="P102" s="280"/>
      <c r="Q102" s="280"/>
      <c r="S102" s="2767">
        <v>3000</v>
      </c>
      <c r="T102" s="2768"/>
      <c r="V102" s="2345"/>
      <c r="W102" s="2839"/>
      <c r="X102" s="2840"/>
    </row>
    <row r="103" spans="1:24" s="305" customFormat="1" ht="12.6" customHeight="1">
      <c r="A103" s="387" t="str">
        <f>IF(AND(G103&gt;0,OR(C103="",C103="&lt;Enter detailed description here; use Comments section if needed&gt;")),"X","")</f>
        <v/>
      </c>
      <c r="B103" s="305" t="s">
        <v>749</v>
      </c>
      <c r="C103" s="2924" t="s">
        <v>3740</v>
      </c>
      <c r="D103" s="2924"/>
      <c r="E103" s="2924"/>
      <c r="F103" s="2925"/>
      <c r="G103" s="2767"/>
      <c r="H103" s="2768"/>
      <c r="J103" s="280"/>
      <c r="K103" s="280"/>
      <c r="L103" s="280"/>
      <c r="M103" s="280"/>
      <c r="N103" s="280"/>
      <c r="O103" s="280"/>
      <c r="P103" s="280"/>
      <c r="Q103" s="280"/>
      <c r="S103" s="2767"/>
      <c r="T103" s="2768"/>
      <c r="U103" s="386" t="str">
        <f>IF(AND(G103&gt;0,OR(C103="",C103="&lt;Enter detailed description here; use Comments section if needed&gt;")),"NO DESCRIPTION PROVIDED - please enter detailed description in Other box at left; use Comments section below if needed.","")</f>
        <v/>
      </c>
      <c r="V103" s="2345"/>
      <c r="W103" s="2839"/>
      <c r="X103" s="2840"/>
    </row>
    <row r="104" spans="1:24" s="305" customFormat="1" ht="12.6" customHeight="1" thickBot="1">
      <c r="A104" s="387" t="str">
        <f>IF(AND(G104&gt;0,OR(C104="",C104="&lt;Enter detailed description here; use Comments section if needed&gt;")),"X","")</f>
        <v/>
      </c>
      <c r="B104" s="305" t="s">
        <v>749</v>
      </c>
      <c r="C104" s="2926" t="s">
        <v>3740</v>
      </c>
      <c r="D104" s="2926"/>
      <c r="E104" s="2926"/>
      <c r="F104" s="2927"/>
      <c r="G104" s="2779"/>
      <c r="H104" s="2780"/>
      <c r="J104" s="280"/>
      <c r="K104" s="280"/>
      <c r="L104" s="280"/>
      <c r="M104" s="280"/>
      <c r="N104" s="280"/>
      <c r="O104" s="280"/>
      <c r="P104" s="280"/>
      <c r="Q104" s="280"/>
      <c r="S104" s="2779"/>
      <c r="T104" s="2780"/>
      <c r="U104" s="386" t="str">
        <f>IF(AND(G104&gt;0,OR(C104="",C104="&lt;Enter detailed description here; use Comments section if needed&gt;")),"NO DESCRIPTION PROVIDED - please enter detailed description in Other box at left; use Comments section below if needed.","")</f>
        <v/>
      </c>
      <c r="V104" s="2345"/>
      <c r="W104" s="2841"/>
      <c r="X104" s="2842"/>
    </row>
    <row r="105" spans="1:24" s="305" customFormat="1" ht="12.6" customHeight="1" thickTop="1">
      <c r="F105" s="361" t="s">
        <v>193</v>
      </c>
      <c r="G105" s="2913">
        <f>SUM(G96:H104)</f>
        <v>153566</v>
      </c>
      <c r="H105" s="2914"/>
      <c r="J105" s="363"/>
      <c r="K105" s="363"/>
      <c r="L105" s="1577"/>
      <c r="M105" s="363"/>
      <c r="N105" s="363"/>
      <c r="P105" s="363"/>
      <c r="Q105" s="363"/>
      <c r="S105" s="2913">
        <f>SUM(S96:T104)</f>
        <v>153566</v>
      </c>
      <c r="T105" s="2914"/>
      <c r="V105" s="2347">
        <f>SUM(V96:V104)</f>
        <v>0</v>
      </c>
      <c r="W105" s="2352"/>
      <c r="X105" s="2353"/>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7">
        <v>4000</v>
      </c>
      <c r="H107" s="2798"/>
      <c r="J107" s="2923"/>
      <c r="K107" s="2923"/>
      <c r="L107" s="1577"/>
      <c r="M107" s="2923"/>
      <c r="N107" s="2923"/>
      <c r="O107" s="1566"/>
      <c r="P107" s="2923"/>
      <c r="Q107" s="2923"/>
      <c r="S107" s="2797">
        <v>4000</v>
      </c>
      <c r="T107" s="2798"/>
      <c r="V107" s="2345"/>
      <c r="W107" s="2839"/>
      <c r="X107" s="2840"/>
    </row>
    <row r="108" spans="1:24" s="305" customFormat="1" ht="12.6" customHeight="1">
      <c r="B108" s="305" t="s">
        <v>282</v>
      </c>
      <c r="G108" s="2767"/>
      <c r="H108" s="2768"/>
      <c r="J108" s="2923"/>
      <c r="K108" s="2923"/>
      <c r="L108" s="1577"/>
      <c r="M108" s="2923"/>
      <c r="N108" s="2923"/>
      <c r="O108" s="1566"/>
      <c r="P108" s="2923"/>
      <c r="Q108" s="2923"/>
      <c r="S108" s="2767"/>
      <c r="T108" s="2768"/>
      <c r="V108" s="2345"/>
      <c r="W108" s="2839"/>
      <c r="X108" s="2840"/>
    </row>
    <row r="109" spans="1:24" s="305" customFormat="1" ht="12.6" customHeight="1">
      <c r="B109" s="305" t="s">
        <v>2403</v>
      </c>
      <c r="G109" s="2767">
        <v>9000</v>
      </c>
      <c r="H109" s="2768"/>
      <c r="J109" s="2923"/>
      <c r="K109" s="2923"/>
      <c r="L109" s="1577"/>
      <c r="M109" s="2923"/>
      <c r="N109" s="2923"/>
      <c r="O109" s="1566"/>
      <c r="P109" s="2923"/>
      <c r="Q109" s="2923"/>
      <c r="S109" s="2767">
        <v>9000</v>
      </c>
      <c r="T109" s="2768"/>
      <c r="V109" s="2345"/>
      <c r="W109" s="2839"/>
      <c r="X109" s="2840"/>
    </row>
    <row r="110" spans="1:24" s="305" customFormat="1" ht="12.6" customHeight="1" thickBot="1">
      <c r="A110" s="387" t="str">
        <f>IF(AND(G110&gt;0,OR(C110="",C110="&lt;Enter detailed description here; use Comments section if needed&gt;")),"X","")</f>
        <v/>
      </c>
      <c r="B110" s="305" t="s">
        <v>749</v>
      </c>
      <c r="C110" s="2911" t="s">
        <v>3740</v>
      </c>
      <c r="D110" s="2911"/>
      <c r="E110" s="2911"/>
      <c r="F110" s="2912"/>
      <c r="G110" s="2779"/>
      <c r="H110" s="2780"/>
      <c r="J110" s="2923"/>
      <c r="K110" s="2923"/>
      <c r="L110" s="1577"/>
      <c r="M110" s="2923"/>
      <c r="N110" s="2923"/>
      <c r="O110" s="1566"/>
      <c r="P110" s="2923"/>
      <c r="Q110" s="2923"/>
      <c r="S110" s="2779"/>
      <c r="T110" s="2780"/>
      <c r="U110" s="386" t="str">
        <f>IF(AND(G110&gt;0,OR(C110="",C110="&lt;Enter detailed description here; use Comments section if needed&gt;")),"NO DESCRIPTION PROVIDED - please enter detailed description in Other box at left; use Comments section below if needed.","")</f>
        <v/>
      </c>
      <c r="V110" s="2345"/>
      <c r="W110" s="2841"/>
      <c r="X110" s="2842"/>
    </row>
    <row r="111" spans="1:24" s="305" customFormat="1" ht="12.6" customHeight="1" thickTop="1">
      <c r="F111" s="361" t="s">
        <v>193</v>
      </c>
      <c r="G111" s="2913">
        <f>SUM(G107:H110)</f>
        <v>13000</v>
      </c>
      <c r="H111" s="2914"/>
      <c r="J111" s="2923"/>
      <c r="K111" s="2923"/>
      <c r="L111" s="1577"/>
      <c r="M111" s="2923"/>
      <c r="N111" s="2923"/>
      <c r="O111" s="1566"/>
      <c r="P111" s="2923"/>
      <c r="Q111" s="2923"/>
      <c r="S111" s="2913">
        <f>SUM(S107:T110)</f>
        <v>13000</v>
      </c>
      <c r="T111" s="2914"/>
      <c r="V111" s="2347">
        <f>SUM(V107:V110)</f>
        <v>0</v>
      </c>
      <c r="W111" s="2843"/>
      <c r="X111" s="2844"/>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2920"/>
      <c r="H113" s="2920"/>
      <c r="J113" s="2921"/>
      <c r="K113" s="2922"/>
      <c r="L113" s="362"/>
      <c r="M113" s="2921"/>
      <c r="N113" s="2922"/>
      <c r="P113" s="2921"/>
      <c r="Q113" s="2922"/>
      <c r="S113" s="2921"/>
      <c r="T113" s="2922"/>
      <c r="V113" s="2345"/>
      <c r="W113" s="2839"/>
      <c r="X113" s="2840"/>
    </row>
    <row r="114" spans="1:24" s="305" customFormat="1" ht="12.6" customHeight="1">
      <c r="B114" s="305" t="s">
        <v>4251</v>
      </c>
      <c r="F114" s="2354">
        <v>320000</v>
      </c>
      <c r="V114" s="2345"/>
      <c r="W114" s="2839"/>
      <c r="X114" s="2840"/>
    </row>
    <row r="115" spans="1:24" s="305" customFormat="1" ht="12.6" customHeight="1">
      <c r="B115" s="305" t="s">
        <v>1876</v>
      </c>
      <c r="F115" s="412">
        <f>IF($G$118=0,0,G115/$G$118)</f>
        <v>0</v>
      </c>
      <c r="G115" s="2797"/>
      <c r="H115" s="2798"/>
      <c r="J115" s="2797"/>
      <c r="K115" s="2798"/>
      <c r="L115" s="1577"/>
      <c r="M115" s="2797"/>
      <c r="N115" s="2798"/>
      <c r="P115" s="2797"/>
      <c r="Q115" s="2798"/>
      <c r="S115" s="2797"/>
      <c r="T115" s="2798"/>
      <c r="V115" s="2345"/>
      <c r="W115" s="2839"/>
      <c r="X115" s="2840"/>
    </row>
    <row r="116" spans="1:24" s="305" customFormat="1" ht="12.6" customHeight="1">
      <c r="B116" s="305" t="s">
        <v>3660</v>
      </c>
      <c r="F116" s="412">
        <f>IF($G$118=0,0,G116/$G$118)</f>
        <v>0</v>
      </c>
      <c r="G116" s="2767"/>
      <c r="H116" s="2768"/>
      <c r="J116" s="2767"/>
      <c r="K116" s="2768"/>
      <c r="L116" s="1577"/>
      <c r="M116" s="2767"/>
      <c r="N116" s="2768"/>
      <c r="P116" s="2767"/>
      <c r="Q116" s="2768"/>
      <c r="S116" s="2767"/>
      <c r="T116" s="2768"/>
      <c r="V116" s="2345"/>
      <c r="W116" s="2839"/>
      <c r="X116" s="2840"/>
    </row>
    <row r="117" spans="1:24" s="305" customFormat="1" ht="12.6" customHeight="1" thickBot="1">
      <c r="B117" s="305" t="s">
        <v>1868</v>
      </c>
      <c r="F117" s="412">
        <f>IF($G$118=0,0,G117/$G$118)</f>
        <v>1</v>
      </c>
      <c r="G117" s="2779">
        <v>1650000</v>
      </c>
      <c r="H117" s="2780"/>
      <c r="J117" s="2779">
        <v>1650000</v>
      </c>
      <c r="K117" s="2780"/>
      <c r="L117" s="1577"/>
      <c r="M117" s="2779"/>
      <c r="N117" s="2780"/>
      <c r="P117" s="2779"/>
      <c r="Q117" s="2780"/>
      <c r="S117" s="2779"/>
      <c r="T117" s="2780"/>
      <c r="V117" s="2345"/>
      <c r="W117" s="2841"/>
      <c r="X117" s="2842"/>
    </row>
    <row r="118" spans="1:24" s="305" customFormat="1" ht="12.6" customHeight="1" thickTop="1">
      <c r="C118" s="386"/>
      <c r="F118" s="361" t="s">
        <v>193</v>
      </c>
      <c r="G118" s="2913">
        <f>SUM(G113:H117)</f>
        <v>1650000</v>
      </c>
      <c r="H118" s="2914"/>
      <c r="J118" s="2913">
        <f>SUM(J113:K117)</f>
        <v>1650000</v>
      </c>
      <c r="K118" s="2914"/>
      <c r="L118" s="1577"/>
      <c r="M118" s="2913">
        <f>SUM(M113:N117)</f>
        <v>0</v>
      </c>
      <c r="N118" s="2914"/>
      <c r="P118" s="2913">
        <f>SUM(P113:Q117)</f>
        <v>0</v>
      </c>
      <c r="Q118" s="2914"/>
      <c r="S118" s="2913">
        <f>SUM(S113:T117)</f>
        <v>0</v>
      </c>
      <c r="T118" s="2914"/>
      <c r="V118" s="2347">
        <f>SUM(V113:V117)</f>
        <v>0</v>
      </c>
      <c r="W118" s="2843"/>
      <c r="X118" s="2844"/>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7">
        <v>20000</v>
      </c>
      <c r="H120" s="2798"/>
      <c r="J120" s="371"/>
      <c r="K120" s="371"/>
      <c r="L120" s="371"/>
      <c r="M120" s="371"/>
      <c r="N120" s="371"/>
      <c r="P120" s="371"/>
      <c r="Q120" s="371"/>
      <c r="S120" s="2797">
        <v>20000</v>
      </c>
      <c r="T120" s="2798"/>
      <c r="V120" s="2345"/>
      <c r="W120" s="2839"/>
      <c r="X120" s="2840"/>
    </row>
    <row r="121" spans="1:24" s="305" customFormat="1" ht="12.6" customHeight="1">
      <c r="B121" s="305" t="s">
        <v>1548</v>
      </c>
      <c r="F121" s="513">
        <f>+'Part VI-Revenues &amp; Expenses'!$P$175*('DCA Underwriting Assumptions'!$Q$110/12)</f>
        <v>88206</v>
      </c>
      <c r="G121" s="2767">
        <v>88206</v>
      </c>
      <c r="H121" s="2768"/>
      <c r="J121" s="1057" t="str">
        <f>IF(E121&gt;G121,"WARNING! Rent-Up Reserves proposed is below minimum - add comment.","")</f>
        <v/>
      </c>
      <c r="K121" s="1057"/>
      <c r="L121" s="1577"/>
      <c r="M121" s="1030"/>
      <c r="N121" s="1030"/>
      <c r="O121" s="1566"/>
      <c r="P121" s="1030"/>
      <c r="Q121" s="1030"/>
      <c r="R121" s="1566"/>
      <c r="S121" s="2767">
        <v>88206</v>
      </c>
      <c r="T121" s="2768"/>
      <c r="V121" s="2345"/>
      <c r="W121" s="2839"/>
      <c r="X121" s="2840"/>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273074.93026006944</v>
      </c>
      <c r="G122" s="2767">
        <v>273075</v>
      </c>
      <c r="H122" s="2768"/>
      <c r="J122" s="1057" t="str">
        <f>IF(E122&gt;G122,"WARNING! ODR proposed is below minimum - add comment.","")</f>
        <v/>
      </c>
      <c r="K122" s="370"/>
      <c r="L122" s="370"/>
      <c r="M122" s="370"/>
      <c r="N122" s="370"/>
      <c r="O122" s="1566"/>
      <c r="P122" s="370"/>
      <c r="Q122" s="370"/>
      <c r="R122" s="1566"/>
      <c r="S122" s="2767">
        <v>273075</v>
      </c>
      <c r="T122" s="2768"/>
      <c r="V122" s="2345"/>
      <c r="W122" s="2839"/>
      <c r="X122" s="2840"/>
    </row>
    <row r="123" spans="1:24" s="305" customFormat="1" ht="12.6" customHeight="1">
      <c r="B123" s="305" t="s">
        <v>1256</v>
      </c>
      <c r="G123" s="2767"/>
      <c r="H123" s="2768"/>
      <c r="J123" s="371"/>
      <c r="K123" s="371"/>
      <c r="L123" s="371"/>
      <c r="M123" s="371"/>
      <c r="N123" s="371"/>
      <c r="P123" s="371"/>
      <c r="Q123" s="371"/>
      <c r="S123" s="2767"/>
      <c r="T123" s="2768"/>
      <c r="V123" s="2345"/>
      <c r="W123" s="2839"/>
      <c r="X123" s="2840"/>
    </row>
    <row r="124" spans="1:24" s="305" customFormat="1" ht="12.6" customHeight="1">
      <c r="B124" s="305" t="s">
        <v>1257</v>
      </c>
      <c r="E124" s="901" t="s">
        <v>3591</v>
      </c>
      <c r="F124" s="481">
        <f>IF('Part VI-Revenues &amp; Expenses'!$O$62=0,0,G124/'Part VI-Revenues &amp; Expenses'!$O$62)</f>
        <v>357.14285714285717</v>
      </c>
      <c r="G124" s="2767">
        <v>30000</v>
      </c>
      <c r="H124" s="2768"/>
      <c r="J124" s="2797">
        <v>30000</v>
      </c>
      <c r="K124" s="2798"/>
      <c r="L124" s="1577"/>
      <c r="M124" s="2797"/>
      <c r="N124" s="2798"/>
      <c r="P124" s="2797"/>
      <c r="Q124" s="2798"/>
      <c r="S124" s="2767"/>
      <c r="T124" s="2768"/>
      <c r="V124" s="2345"/>
      <c r="W124" s="2839"/>
      <c r="X124" s="2840"/>
    </row>
    <row r="125" spans="1:24" s="305" customFormat="1" ht="12.6" customHeight="1" thickBot="1">
      <c r="A125" s="387" t="str">
        <f>IF(AND(G125&gt;0,OR(C125="",C125="&lt;Enter detailed description here; use Comments section if needed&gt;")),"X","")</f>
        <v/>
      </c>
      <c r="B125" s="305" t="s">
        <v>749</v>
      </c>
      <c r="C125" s="2911" t="s">
        <v>3740</v>
      </c>
      <c r="D125" s="2911"/>
      <c r="E125" s="2911"/>
      <c r="F125" s="2912"/>
      <c r="G125" s="2779"/>
      <c r="H125" s="2780"/>
      <c r="J125" s="2918"/>
      <c r="K125" s="2919"/>
      <c r="L125" s="1577"/>
      <c r="M125" s="2779"/>
      <c r="N125" s="2780"/>
      <c r="P125" s="2779"/>
      <c r="Q125" s="2780"/>
      <c r="S125" s="2779"/>
      <c r="T125" s="2780"/>
      <c r="U125" s="386" t="str">
        <f>IF(AND(G125&gt;0,OR(C125="",C125="&lt;Enter detailed description here; use Comments section if needed&gt;")),"NO DESCRIPTION PROVIDED - please enter detailed description in Other box at left; use Comments section below if needed.","")</f>
        <v/>
      </c>
      <c r="V125" s="2345"/>
      <c r="W125" s="2841"/>
      <c r="X125" s="2842"/>
    </row>
    <row r="126" spans="1:24" s="305" customFormat="1" ht="12.6" customHeight="1" thickTop="1">
      <c r="B126" s="372"/>
      <c r="F126" s="361" t="s">
        <v>193</v>
      </c>
      <c r="G126" s="2913">
        <f>SUM(G120:H125)</f>
        <v>411281</v>
      </c>
      <c r="H126" s="2914"/>
      <c r="J126" s="2913">
        <f>SUM(J124:K125)</f>
        <v>30000</v>
      </c>
      <c r="K126" s="2914"/>
      <c r="L126" s="1577"/>
      <c r="M126" s="2913">
        <f>SUM(M124:N125)</f>
        <v>0</v>
      </c>
      <c r="N126" s="2914"/>
      <c r="P126" s="2913">
        <f>SUM(P124:Q125)</f>
        <v>0</v>
      </c>
      <c r="Q126" s="2914"/>
      <c r="S126" s="2913">
        <f>SUM(S120:T125)</f>
        <v>381281</v>
      </c>
      <c r="T126" s="2914"/>
      <c r="V126" s="2347">
        <f>SUM(V120:V125)</f>
        <v>0</v>
      </c>
      <c r="W126" s="2843"/>
      <c r="X126" s="2844"/>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797"/>
      <c r="H128" s="2798"/>
      <c r="J128" s="2797"/>
      <c r="K128" s="2798"/>
      <c r="L128" s="362"/>
      <c r="M128" s="2797"/>
      <c r="N128" s="2798"/>
      <c r="P128" s="2797"/>
      <c r="Q128" s="2798"/>
      <c r="S128" s="2797"/>
      <c r="T128" s="2798"/>
      <c r="V128" s="2345"/>
      <c r="W128" s="2839"/>
      <c r="X128" s="2840"/>
    </row>
    <row r="129" spans="1:24" s="305" customFormat="1" ht="12.6" customHeight="1" thickBot="1">
      <c r="A129" s="387" t="str">
        <f>IF(AND(G129&gt;0,OR(C129="",C129="&lt;Enter detailed description here; use Comments section if needed&gt;")),"X","")</f>
        <v/>
      </c>
      <c r="B129" s="305" t="s">
        <v>749</v>
      </c>
      <c r="C129" s="2911" t="s">
        <v>4615</v>
      </c>
      <c r="D129" s="2911"/>
      <c r="E129" s="2911"/>
      <c r="F129" s="2912"/>
      <c r="G129" s="2779">
        <v>7982</v>
      </c>
      <c r="H129" s="2780"/>
      <c r="J129" s="2779">
        <v>7982</v>
      </c>
      <c r="K129" s="2780"/>
      <c r="L129" s="1577"/>
      <c r="M129" s="2779"/>
      <c r="N129" s="2780"/>
      <c r="P129" s="2779"/>
      <c r="Q129" s="2780"/>
      <c r="S129" s="2779"/>
      <c r="T129" s="2780"/>
      <c r="U129" s="386" t="str">
        <f>IF(AND(G129&gt;0,OR(C129="",C129="&lt;Enter detailed description here; use Comments section if needed&gt;")),"NO DESCRIPTION PROVIDED - please enter detailed description in Other box at left; use Comments section below if needed.","")</f>
        <v/>
      </c>
      <c r="V129" s="2345"/>
      <c r="W129" s="2841"/>
      <c r="X129" s="2842"/>
    </row>
    <row r="130" spans="1:24" s="305" customFormat="1" ht="12.6" customHeight="1" thickTop="1">
      <c r="C130" s="1557"/>
      <c r="F130" s="361" t="s">
        <v>193</v>
      </c>
      <c r="G130" s="2913">
        <f>SUM(G128:H129)</f>
        <v>7982</v>
      </c>
      <c r="H130" s="2914"/>
      <c r="J130" s="2913">
        <f>SUM(J128:K129)</f>
        <v>7982</v>
      </c>
      <c r="K130" s="2914"/>
      <c r="L130" s="1577"/>
      <c r="M130" s="2913">
        <f>SUM(M128:N129)</f>
        <v>0</v>
      </c>
      <c r="N130" s="2914"/>
      <c r="P130" s="2913">
        <f>SUM(P128:Q129)</f>
        <v>0</v>
      </c>
      <c r="Q130" s="2914"/>
      <c r="S130" s="2913">
        <f>SUM(S128:T129)</f>
        <v>0</v>
      </c>
      <c r="T130" s="2914"/>
      <c r="V130" s="2347">
        <f>SUM(V128:V129)</f>
        <v>0</v>
      </c>
      <c r="W130" s="2843"/>
      <c r="X130" s="2844"/>
    </row>
    <row r="131" spans="1:24" s="305" customFormat="1" ht="3" customHeight="1" thickBot="1">
      <c r="C131" s="1557"/>
      <c r="H131" s="368"/>
      <c r="I131" s="368"/>
      <c r="L131" s="1566"/>
      <c r="V131" s="1176"/>
      <c r="W131" s="2355"/>
      <c r="X131" s="2356"/>
    </row>
    <row r="132" spans="1:24" s="305" customFormat="1" ht="13.9" customHeight="1" thickBot="1">
      <c r="B132" s="311" t="s">
        <v>2788</v>
      </c>
      <c r="G132" s="2915">
        <f>G17+G23+G27+G33+G38+G41+G47+G64+G77+G83+G91+G105+G111+G118+G126+G130</f>
        <v>16105048</v>
      </c>
      <c r="H132" s="2916"/>
      <c r="J132" s="2915">
        <f>J17+J23+J27+J33+J38+J41+J47+J64+J77+J83+J91+J105+J111+J118+J126+J130</f>
        <v>12874501</v>
      </c>
      <c r="K132" s="2916"/>
      <c r="M132" s="2915">
        <f>M17+M23+M27+M33+M38+M41+M47+M64+M77+M83+M91+M105+M111+M118+M126+M130</f>
        <v>0</v>
      </c>
      <c r="N132" s="2916"/>
      <c r="P132" s="2915">
        <f>P17+P23+P27+P33+P38+P41+P47+P64+P77+P83+P91+P105+P111+P118+P126+P130</f>
        <v>0</v>
      </c>
      <c r="Q132" s="2916"/>
      <c r="S132" s="2915">
        <f>S17+S23+S27+S33+S38+S41+S47+S64+S77+S83+S91+S105+S111+S118+S126+S130</f>
        <v>3230547</v>
      </c>
      <c r="T132" s="2916"/>
      <c r="V132" s="2357">
        <f>V17+V23+V27+V33+V38+V41+V47+V64+V77+V83+V91+V105+V111+V118+V126+V130</f>
        <v>0</v>
      </c>
      <c r="W132" s="2917"/>
      <c r="X132" s="2844"/>
    </row>
    <row r="133" spans="1:24" s="305" customFormat="1" ht="3" customHeight="1">
      <c r="C133" s="1557"/>
      <c r="H133" s="368"/>
      <c r="I133" s="368"/>
      <c r="L133" s="1566"/>
      <c r="V133" s="1176"/>
    </row>
    <row r="134" spans="1:24" s="305" customFormat="1" ht="13.9" customHeight="1">
      <c r="B134" s="524" t="s">
        <v>2784</v>
      </c>
      <c r="C134" s="522"/>
      <c r="D134" s="2896">
        <f>IF('Part VI-Revenues &amp; Expenses'!$O$62=0,0,G132/'Part VI-Revenues &amp; Expenses'!$O$62)</f>
        <v>191726.76190476189</v>
      </c>
      <c r="E134" s="2896"/>
      <c r="F134" s="523" t="s">
        <v>2783</v>
      </c>
      <c r="G134" s="2897">
        <f>IF('Part I-Project Information'!$P$71=0,0,G132/'Part I-Project Information'!$P$71)</f>
        <v>169.6875777051944</v>
      </c>
      <c r="H134" s="2898"/>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2899" t="s">
        <v>273</v>
      </c>
      <c r="K137" s="2900"/>
      <c r="M137" s="2899" t="s">
        <v>101</v>
      </c>
      <c r="N137" s="2900"/>
      <c r="P137" s="2899" t="s">
        <v>274</v>
      </c>
      <c r="Q137" s="2900"/>
      <c r="V137" s="1176"/>
      <c r="W137" s="438" t="str">
        <f>B137</f>
        <v>TAX CREDIT CALCULATION - BASIS METHOD</v>
      </c>
    </row>
    <row r="138" spans="1:24" s="305" customFormat="1" ht="15" customHeight="1" thickBot="1">
      <c r="B138" s="311" t="s">
        <v>2061</v>
      </c>
      <c r="D138" s="1577"/>
      <c r="E138" s="1577"/>
      <c r="I138" s="375"/>
      <c r="J138" s="2901"/>
      <c r="K138" s="2902"/>
      <c r="L138" s="931"/>
      <c r="M138" s="2901"/>
      <c r="N138" s="2902"/>
      <c r="P138" s="2901"/>
      <c r="Q138" s="2902"/>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903"/>
      <c r="K140" s="2904"/>
      <c r="P140" s="2903"/>
      <c r="Q140" s="2904"/>
      <c r="V140" s="2345"/>
      <c r="W140" s="2839"/>
      <c r="X140" s="2840"/>
    </row>
    <row r="141" spans="1:24" s="305" customFormat="1" ht="13.9" customHeight="1">
      <c r="B141" s="1566" t="s">
        <v>2169</v>
      </c>
      <c r="D141" s="1566"/>
      <c r="E141" s="1566"/>
      <c r="F141" s="1566"/>
      <c r="G141" s="1566"/>
      <c r="H141" s="1566"/>
      <c r="I141" s="375"/>
      <c r="J141" s="2905"/>
      <c r="K141" s="2906"/>
      <c r="P141" s="2905"/>
      <c r="Q141" s="2906"/>
      <c r="V141" s="2345"/>
      <c r="W141" s="2839"/>
      <c r="X141" s="2840"/>
    </row>
    <row r="142" spans="1:24" s="305" customFormat="1" ht="13.9" customHeight="1">
      <c r="B142" s="1566" t="s">
        <v>1878</v>
      </c>
      <c r="D142" s="1566"/>
      <c r="E142" s="1566"/>
      <c r="I142" s="375"/>
      <c r="J142" s="2905"/>
      <c r="K142" s="2906"/>
      <c r="P142" s="2905"/>
      <c r="Q142" s="2906"/>
      <c r="V142" s="2345"/>
      <c r="W142" s="2839"/>
      <c r="X142" s="2840"/>
    </row>
    <row r="143" spans="1:24" s="305" customFormat="1" ht="13.9" customHeight="1">
      <c r="B143" s="1566" t="s">
        <v>1879</v>
      </c>
      <c r="D143" s="1566"/>
      <c r="E143" s="1566"/>
      <c r="I143" s="375"/>
      <c r="J143" s="2905"/>
      <c r="K143" s="2906"/>
      <c r="P143" s="2905"/>
      <c r="Q143" s="2906"/>
      <c r="V143" s="2345"/>
      <c r="W143" s="2839"/>
      <c r="X143" s="2840"/>
    </row>
    <row r="144" spans="1:24" s="305" customFormat="1" ht="13.9" customHeight="1">
      <c r="B144" s="1566" t="s">
        <v>256</v>
      </c>
      <c r="D144" s="1566"/>
      <c r="E144" s="1566"/>
      <c r="I144" s="375"/>
      <c r="J144" s="2905"/>
      <c r="K144" s="2906"/>
      <c r="P144" s="2905"/>
      <c r="Q144" s="2906"/>
      <c r="V144" s="2345"/>
      <c r="W144" s="2839"/>
      <c r="X144" s="2840"/>
    </row>
    <row r="145" spans="1:24" s="305" customFormat="1" ht="13.9" customHeight="1" thickBot="1">
      <c r="B145" s="1566" t="s">
        <v>1613</v>
      </c>
      <c r="C145" s="2907" t="s">
        <v>2432</v>
      </c>
      <c r="D145" s="2907"/>
      <c r="E145" s="2907"/>
      <c r="F145" s="2907"/>
      <c r="G145" s="2907"/>
      <c r="H145" s="2907"/>
      <c r="I145" s="2908"/>
      <c r="J145" s="2909"/>
      <c r="K145" s="2910"/>
      <c r="P145" s="2909"/>
      <c r="Q145" s="2910"/>
      <c r="V145" s="2345"/>
      <c r="W145" s="2841"/>
      <c r="X145" s="2842"/>
    </row>
    <row r="146" spans="1:24" s="305" customFormat="1" ht="13.9" customHeight="1" thickBot="1">
      <c r="B146" s="316" t="s">
        <v>1880</v>
      </c>
      <c r="C146" s="319"/>
      <c r="J146" s="2715">
        <f>SUM(J140:K145)</f>
        <v>0</v>
      </c>
      <c r="K146" s="2716"/>
      <c r="P146" s="2715">
        <f>SUM(P140:Q145)</f>
        <v>0</v>
      </c>
      <c r="Q146" s="2716"/>
      <c r="V146" s="2347">
        <f>SUM(V140:V145)</f>
        <v>0</v>
      </c>
      <c r="W146" s="2843"/>
      <c r="X146" s="2844"/>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2892">
        <f>J132</f>
        <v>12874501</v>
      </c>
      <c r="K149" s="2893"/>
      <c r="M149" s="2894">
        <f>M132</f>
        <v>0</v>
      </c>
      <c r="N149" s="2895"/>
      <c r="P149" s="2892">
        <f>P132</f>
        <v>0</v>
      </c>
      <c r="Q149" s="2893"/>
      <c r="V149" s="2345"/>
      <c r="W149" s="2839"/>
      <c r="X149" s="2840"/>
    </row>
    <row r="150" spans="1:24" s="305" customFormat="1" ht="13.9" customHeight="1">
      <c r="B150" s="305" t="s">
        <v>2237</v>
      </c>
      <c r="J150" s="2854">
        <f>J146</f>
        <v>0</v>
      </c>
      <c r="K150" s="2855"/>
      <c r="M150" s="2868"/>
      <c r="N150" s="2868"/>
      <c r="P150" s="2854">
        <f>P146</f>
        <v>0</v>
      </c>
      <c r="Q150" s="2855"/>
      <c r="V150" s="2345"/>
      <c r="W150" s="2839"/>
      <c r="X150" s="2840"/>
    </row>
    <row r="151" spans="1:24" s="305" customFormat="1" ht="13.9" customHeight="1">
      <c r="B151" s="305" t="s">
        <v>2238</v>
      </c>
      <c r="J151" s="2854">
        <f>J149-J150</f>
        <v>12874501</v>
      </c>
      <c r="K151" s="2855"/>
      <c r="M151" s="2854">
        <f>M149</f>
        <v>0</v>
      </c>
      <c r="N151" s="2855"/>
      <c r="P151" s="2854">
        <f>P149-P150</f>
        <v>0</v>
      </c>
      <c r="Q151" s="2855"/>
      <c r="V151" s="2345"/>
      <c r="W151" s="2839"/>
      <c r="X151" s="2840"/>
    </row>
    <row r="152" spans="1:24" s="305" customFormat="1" ht="13.9" customHeight="1">
      <c r="B152" s="305" t="s">
        <v>1497</v>
      </c>
      <c r="G152" s="1558" t="s">
        <v>1727</v>
      </c>
      <c r="H152" s="2610" t="s">
        <v>1784</v>
      </c>
      <c r="I152" s="2611"/>
      <c r="J152" s="2885">
        <v>1</v>
      </c>
      <c r="K152" s="2886"/>
      <c r="M152" s="2887"/>
      <c r="N152" s="2887"/>
      <c r="P152" s="2885"/>
      <c r="Q152" s="2886"/>
      <c r="V152" s="2345"/>
      <c r="W152" s="2839"/>
      <c r="X152" s="2840"/>
    </row>
    <row r="153" spans="1:24" s="305" customFormat="1" ht="13.9" customHeight="1">
      <c r="B153" s="305" t="s">
        <v>2071</v>
      </c>
      <c r="J153" s="2854">
        <f>J151*J152</f>
        <v>12874501</v>
      </c>
      <c r="K153" s="2855"/>
      <c r="M153" s="2854">
        <f>+M151</f>
        <v>0</v>
      </c>
      <c r="N153" s="2855"/>
      <c r="P153" s="2854">
        <f>P151*P152</f>
        <v>0</v>
      </c>
      <c r="Q153" s="2855"/>
      <c r="V153" s="2345"/>
      <c r="W153" s="2839"/>
      <c r="X153" s="2840"/>
    </row>
    <row r="154" spans="1:24" s="305" customFormat="1" ht="13.9" customHeight="1">
      <c r="B154" s="305" t="s">
        <v>2559</v>
      </c>
      <c r="J154" s="2888">
        <f>MIN('Part VI-Revenues &amp; Expenses'!$O$58/'Part VI-Revenues &amp; Expenses'!$O$60,'Part VI-Revenues &amp; Expenses'!$O$115/'Part VI-Revenues &amp; Expenses'!$O$117)</f>
        <v>0.79685706240388154</v>
      </c>
      <c r="K154" s="2889"/>
      <c r="M154" s="2888">
        <f>MIN('Part VI-Revenues &amp; Expenses'!$O$58/'Part VI-Revenues &amp; Expenses'!$O$60,'Part VI-Revenues &amp; Expenses'!$O$115/'Part VI-Revenues &amp; Expenses'!$O$117)</f>
        <v>0.79685706240388154</v>
      </c>
      <c r="N154" s="2889"/>
      <c r="P154" s="2888">
        <f>MIN('Part VI-Revenues &amp; Expenses'!$O$58/'Part VI-Revenues &amp; Expenses'!$O$60,'Part VI-Revenues &amp; Expenses'!$O$115/'Part VI-Revenues &amp; Expenses'!$O$117)</f>
        <v>0.79685706240388154</v>
      </c>
      <c r="Q154" s="2889"/>
      <c r="V154" s="2345"/>
      <c r="W154" s="2839"/>
      <c r="X154" s="2840"/>
    </row>
    <row r="155" spans="1:24" s="305" customFormat="1" ht="13.9" customHeight="1">
      <c r="B155" s="305" t="s">
        <v>2062</v>
      </c>
      <c r="J155" s="2854">
        <f>J153*J154</f>
        <v>10259137.046775835</v>
      </c>
      <c r="K155" s="2855"/>
      <c r="M155" s="2854">
        <f>M153*M154</f>
        <v>0</v>
      </c>
      <c r="N155" s="2855"/>
      <c r="P155" s="2854">
        <f>P153*P154</f>
        <v>0</v>
      </c>
      <c r="Q155" s="2855"/>
      <c r="V155" s="2345"/>
      <c r="W155" s="2839"/>
      <c r="X155" s="2840"/>
    </row>
    <row r="156" spans="1:24" s="305" customFormat="1" ht="13.9" customHeight="1">
      <c r="B156" s="305" t="s">
        <v>2063</v>
      </c>
      <c r="J156" s="2885">
        <v>0.09</v>
      </c>
      <c r="K156" s="2886"/>
      <c r="M156" s="2885"/>
      <c r="N156" s="2886"/>
      <c r="P156" s="2885"/>
      <c r="Q156" s="2886"/>
      <c r="V156" s="2345"/>
      <c r="W156" s="2839"/>
      <c r="X156" s="2840"/>
    </row>
    <row r="157" spans="1:24" s="305" customFormat="1" ht="13.9" customHeight="1" thickBot="1">
      <c r="B157" s="305" t="s">
        <v>2560</v>
      </c>
      <c r="J157" s="2890">
        <f>J155*J156</f>
        <v>923322.33420982503</v>
      </c>
      <c r="K157" s="2891"/>
      <c r="M157" s="2890">
        <f>M155*M156</f>
        <v>0</v>
      </c>
      <c r="N157" s="2891"/>
      <c r="P157" s="2890">
        <f>P155*P156</f>
        <v>0</v>
      </c>
      <c r="Q157" s="2891"/>
      <c r="V157" s="2358"/>
      <c r="W157" s="2841"/>
      <c r="X157" s="2842"/>
    </row>
    <row r="158" spans="1:24" s="305" customFormat="1" ht="13.9" customHeight="1" thickBot="1">
      <c r="B158" s="307" t="s">
        <v>1436</v>
      </c>
      <c r="J158" s="2715">
        <f>J157+M157+P157</f>
        <v>923322.33420982503</v>
      </c>
      <c r="K158" s="2861"/>
      <c r="L158" s="2861"/>
      <c r="M158" s="2861"/>
      <c r="N158" s="2861"/>
      <c r="O158" s="2861"/>
      <c r="P158" s="2861"/>
      <c r="Q158" s="2716"/>
      <c r="V158" s="2347"/>
      <c r="W158" s="2352"/>
      <c r="X158" s="2353"/>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2789</v>
      </c>
      <c r="G162" s="2846" t="str">
        <f>IF(J163&gt;J162,"TDC exceeds QAP PUCL!","")</f>
        <v/>
      </c>
      <c r="H162" s="2846"/>
      <c r="I162" s="2847"/>
      <c r="J162" s="2881">
        <f>'Part VIII-Threshold Criteria'!$P$63</f>
        <v>16792844</v>
      </c>
      <c r="K162" s="2882"/>
      <c r="L162" s="2883"/>
      <c r="M162" s="2848" t="s">
        <v>2766</v>
      </c>
      <c r="N162" s="2849"/>
      <c r="O162" s="2849"/>
      <c r="P162" s="2849"/>
      <c r="Q162" s="2849"/>
      <c r="R162" s="2850"/>
      <c r="S162" s="2848" t="s">
        <v>3701</v>
      </c>
      <c r="T162" s="2850"/>
      <c r="V162" s="2345"/>
      <c r="W162" s="2839"/>
      <c r="X162" s="2840"/>
    </row>
    <row r="163" spans="1:24" s="305" customFormat="1" ht="13.9" customHeight="1">
      <c r="B163" s="305" t="s">
        <v>2768</v>
      </c>
      <c r="J163" s="2865">
        <f>MIN(G132,J162,(G132-O165))</f>
        <v>16105048</v>
      </c>
      <c r="K163" s="2866"/>
      <c r="L163" s="2867"/>
      <c r="M163" s="2851"/>
      <c r="N163" s="2852"/>
      <c r="O163" s="2852"/>
      <c r="P163" s="2852"/>
      <c r="Q163" s="2852"/>
      <c r="R163" s="2853"/>
      <c r="S163" s="2851"/>
      <c r="T163" s="2853"/>
      <c r="V163" s="2345"/>
      <c r="W163" s="2839"/>
      <c r="X163" s="2840"/>
    </row>
    <row r="164" spans="1:24" s="305" customFormat="1" ht="13.9" customHeight="1">
      <c r="B164" s="305" t="s">
        <v>265</v>
      </c>
      <c r="J164" s="2854">
        <f>'Part III-Sources of Funds'!$I$58-'Part III-Sources of Funds'!$I$41-'Part III-Sources of Funds'!$I$42-'Part III-Sources of Funds'!$I$49-'Part III-Sources of Funds'!$I$50</f>
        <v>3000000</v>
      </c>
      <c r="K164" s="2868"/>
      <c r="L164" s="2869"/>
      <c r="M164" s="2851"/>
      <c r="N164" s="2852"/>
      <c r="O164" s="2852"/>
      <c r="P164" s="2852"/>
      <c r="Q164" s="2852"/>
      <c r="R164" s="2853"/>
      <c r="S164" s="2851"/>
      <c r="T164" s="2853"/>
      <c r="V164" s="2345"/>
      <c r="W164" s="2839"/>
      <c r="X164" s="2840"/>
    </row>
    <row r="165" spans="1:24" s="305" customFormat="1" ht="13.9" customHeight="1" thickBot="1">
      <c r="B165" s="305" t="s">
        <v>2249</v>
      </c>
      <c r="J165" s="2854">
        <f>+J163-J164</f>
        <v>13105048</v>
      </c>
      <c r="K165" s="2868"/>
      <c r="L165" s="2869"/>
      <c r="M165" s="2870" t="s">
        <v>2767</v>
      </c>
      <c r="N165" s="2871"/>
      <c r="O165" s="2872">
        <f>'Part III-Sources of Funds'!$I$41</f>
        <v>0</v>
      </c>
      <c r="P165" s="2872"/>
      <c r="Q165" s="2872"/>
      <c r="R165" s="2873"/>
      <c r="S165" s="424" t="s">
        <v>1675</v>
      </c>
      <c r="T165" s="2359" t="s">
        <v>3015</v>
      </c>
      <c r="V165" s="2345"/>
      <c r="W165" s="2839"/>
      <c r="X165" s="2840"/>
    </row>
    <row r="166" spans="1:24" s="305" customFormat="1" ht="13.9" customHeight="1">
      <c r="B166" s="305" t="s">
        <v>1298</v>
      </c>
      <c r="J166" s="2874" t="str">
        <f>"/ 10"</f>
        <v>/ 10</v>
      </c>
      <c r="K166" s="2874"/>
      <c r="L166" s="2874"/>
      <c r="M166" s="1566"/>
      <c r="N166" s="494"/>
      <c r="O166" s="494"/>
      <c r="P166" s="494"/>
      <c r="Q166" s="494"/>
      <c r="R166" s="494"/>
      <c r="V166" s="1176"/>
      <c r="W166" s="2839"/>
      <c r="X166" s="2840"/>
    </row>
    <row r="167" spans="1:24" s="305" customFormat="1" ht="13.9" customHeight="1">
      <c r="B167" s="305" t="s">
        <v>1299</v>
      </c>
      <c r="J167" s="2854">
        <f>J165/10</f>
        <v>1310504.8</v>
      </c>
      <c r="K167" s="2868"/>
      <c r="L167" s="2855"/>
      <c r="M167" s="324"/>
      <c r="N167" s="2572" t="s">
        <v>1300</v>
      </c>
      <c r="O167" s="2572"/>
      <c r="Q167" s="2572" t="s">
        <v>1812</v>
      </c>
      <c r="R167" s="2572"/>
      <c r="V167" s="2345"/>
      <c r="W167" s="2839"/>
      <c r="X167" s="2840"/>
    </row>
    <row r="168" spans="1:24" s="305" customFormat="1" ht="13.9" customHeight="1" thickBot="1">
      <c r="B168" s="305" t="s">
        <v>1496</v>
      </c>
      <c r="J168" s="2856">
        <f>N168+Q168</f>
        <v>1.38</v>
      </c>
      <c r="K168" s="2857"/>
      <c r="L168" s="2858"/>
      <c r="M168" s="1558" t="s">
        <v>1301</v>
      </c>
      <c r="N168" s="2859">
        <v>0.88</v>
      </c>
      <c r="O168" s="2860"/>
      <c r="P168" s="1558" t="s">
        <v>618</v>
      </c>
      <c r="Q168" s="2859">
        <v>0.5</v>
      </c>
      <c r="R168" s="2860"/>
      <c r="V168" s="2345"/>
      <c r="W168" s="2839"/>
      <c r="X168" s="2840"/>
    </row>
    <row r="169" spans="1:24" s="305" customFormat="1" ht="13.9" customHeight="1" thickBot="1">
      <c r="B169" s="307" t="s">
        <v>1437</v>
      </c>
      <c r="J169" s="2715">
        <f>IF(J168=0,"",J167/J168)</f>
        <v>949641.15942028991</v>
      </c>
      <c r="K169" s="2861"/>
      <c r="L169" s="2716"/>
      <c r="M169" s="324"/>
      <c r="N169" s="1566"/>
      <c r="O169" s="1566"/>
      <c r="V169" s="2345"/>
      <c r="W169" s="2839"/>
      <c r="X169" s="2840"/>
    </row>
    <row r="170" spans="1:24" s="305" customFormat="1" ht="6" customHeight="1">
      <c r="J170" s="378"/>
      <c r="K170" s="378"/>
      <c r="L170" s="378"/>
      <c r="M170" s="324"/>
      <c r="N170" s="1569"/>
      <c r="O170" s="1569"/>
      <c r="V170" s="1176"/>
      <c r="W170" s="2839"/>
      <c r="X170" s="2840"/>
    </row>
    <row r="171" spans="1:24" s="305" customFormat="1" ht="16.149999999999999" customHeight="1">
      <c r="B171" s="307" t="s">
        <v>2921</v>
      </c>
      <c r="J171" s="286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923322.33420982503</v>
      </c>
      <c r="K171" s="2863"/>
      <c r="L171" s="2864"/>
      <c r="M171" s="324"/>
      <c r="N171" s="1569"/>
      <c r="O171" s="1569"/>
      <c r="V171" s="2345"/>
      <c r="W171" s="2839"/>
      <c r="X171" s="2840"/>
    </row>
    <row r="172" spans="1:24" s="305" customFormat="1" ht="3" customHeight="1">
      <c r="J172" s="378"/>
      <c r="K172" s="378"/>
      <c r="L172" s="378"/>
      <c r="M172" s="324"/>
      <c r="N172" s="1569"/>
      <c r="O172" s="1569"/>
      <c r="V172" s="1176"/>
      <c r="W172" s="2355"/>
      <c r="X172" s="2356"/>
    </row>
    <row r="173" spans="1:24" s="305" customFormat="1" ht="16.149999999999999" customHeight="1">
      <c r="B173" s="307" t="s">
        <v>351</v>
      </c>
      <c r="J173" s="2875">
        <v>923320</v>
      </c>
      <c r="K173" s="2876"/>
      <c r="L173" s="2877"/>
      <c r="M173" s="379" t="str">
        <f>IF(J171=0,"",IF(J173&gt;J171,"ALLOCATION CANNOT EXCEED MAXIMUM - REVISE REQUEST!",""))</f>
        <v/>
      </c>
      <c r="N173" s="1569"/>
      <c r="O173" s="1569"/>
      <c r="V173" s="2345"/>
      <c r="W173" s="2839"/>
      <c r="X173" s="2840"/>
    </row>
    <row r="174" spans="1:24" s="305" customFormat="1" ht="3" customHeight="1">
      <c r="J174" s="378"/>
      <c r="K174" s="378"/>
      <c r="L174" s="378"/>
      <c r="M174" s="324"/>
      <c r="N174" s="1569"/>
      <c r="O174" s="1569"/>
      <c r="V174" s="1176"/>
      <c r="W174" s="2355"/>
      <c r="X174" s="2356"/>
    </row>
    <row r="175" spans="1:24" s="305" customFormat="1" ht="16.149999999999999" customHeight="1">
      <c r="A175" s="438" t="s">
        <v>1805</v>
      </c>
      <c r="B175" s="438" t="s">
        <v>2638</v>
      </c>
      <c r="D175" s="324"/>
      <c r="E175" s="324"/>
      <c r="F175" s="310"/>
      <c r="J175" s="2878">
        <f>IF(J173="",0,+MIN(J171,J173))</f>
        <v>923320</v>
      </c>
      <c r="K175" s="2879"/>
      <c r="L175" s="2880"/>
      <c r="N175" s="2360"/>
      <c r="O175" s="2360"/>
      <c r="P175" s="2360"/>
      <c r="Q175" s="2360"/>
      <c r="R175" s="2360"/>
      <c r="S175" s="2360"/>
      <c r="T175" s="2360"/>
      <c r="V175" s="2345"/>
      <c r="W175" s="2839"/>
      <c r="X175" s="2840"/>
    </row>
    <row r="176" spans="1:24" ht="3" customHeight="1"/>
    <row r="177" spans="1:24" ht="6" customHeight="1"/>
    <row r="178" spans="1:24" ht="12" customHeight="1">
      <c r="A178" s="307" t="s">
        <v>1807</v>
      </c>
      <c r="B178" s="333" t="s">
        <v>577</v>
      </c>
      <c r="N178" s="307" t="s">
        <v>535</v>
      </c>
      <c r="O178" s="307" t="s">
        <v>80</v>
      </c>
    </row>
    <row r="179" spans="1:24" ht="352.5" customHeight="1">
      <c r="A179" s="2724" t="s">
        <v>4741</v>
      </c>
      <c r="B179" s="2724"/>
      <c r="C179" s="2724"/>
      <c r="D179" s="2724"/>
      <c r="E179" s="2724"/>
      <c r="F179" s="2724"/>
      <c r="G179" s="2724"/>
      <c r="H179" s="2724"/>
      <c r="I179" s="2724"/>
      <c r="J179" s="2724"/>
      <c r="K179" s="2724"/>
      <c r="L179" s="2724"/>
      <c r="M179" s="2724"/>
      <c r="N179" s="2884"/>
      <c r="O179" s="2884"/>
      <c r="P179" s="2884"/>
      <c r="Q179" s="2884"/>
      <c r="R179" s="2884"/>
      <c r="S179" s="2884"/>
      <c r="T179" s="2884"/>
      <c r="V179" s="1035"/>
      <c r="W179" s="2705" t="s">
        <v>2711</v>
      </c>
      <c r="X179" s="2705"/>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fzs16B4p93CawNO9VrGnrebzlvI7cIgwp43Mv13y0rzWSfmhF3SPn6Ohtt9Qjw89By/C7BuyPm1vhsewbdLdHg==" saltValue="6ASpiU1H6+N9uY74q58q+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 zoomScaleNormal="100" workbookViewId="0">
      <selection activeCell="A5"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80" t="str">
        <f>CONCATENATE("PART FOUR (b) -  OTHER COSTS","  -  ",'Part I-Project Information'!$O$6," - ",'Part I-Project Information'!$F$34,"  -  ",'Part I-Project Information'!$F$38,"  -  ",'Part I-Project Information'!$J$39,",  ","County")</f>
        <v>PART FOUR (b) -  OTHER COSTS  -  2018-021 - Grayling Place  -  Columbus  -  Muscogee,  County</v>
      </c>
      <c r="B1" s="2981"/>
      <c r="C1" s="2981"/>
      <c r="D1" s="2981"/>
      <c r="E1" s="2981"/>
      <c r="F1" s="2981"/>
      <c r="G1" s="2981"/>
      <c r="H1" s="2981"/>
      <c r="I1" s="1008"/>
      <c r="J1" s="1008"/>
      <c r="K1" s="1008"/>
      <c r="L1" s="1008"/>
      <c r="M1" s="1008"/>
      <c r="N1" s="1008"/>
    </row>
    <row r="2" spans="1:14" ht="9" customHeight="1"/>
    <row r="3" spans="1:14" ht="57" customHeight="1">
      <c r="A3" s="2982" t="s">
        <v>3742</v>
      </c>
      <c r="B3" s="2983"/>
      <c r="C3" s="2983"/>
      <c r="D3" s="2983"/>
      <c r="E3" s="2983"/>
      <c r="F3" s="2983"/>
      <c r="G3" s="2983"/>
      <c r="H3" s="2984"/>
    </row>
    <row r="4" spans="1:14" ht="6" customHeight="1"/>
    <row r="5" spans="1:14" ht="38.25" customHeight="1">
      <c r="A5" s="2985" t="s">
        <v>3860</v>
      </c>
      <c r="B5" s="2985"/>
      <c r="C5" s="2985"/>
      <c r="D5" s="2985"/>
      <c r="F5" s="1009" t="s">
        <v>3733</v>
      </c>
      <c r="G5" s="592"/>
      <c r="H5" s="1009" t="s">
        <v>3734</v>
      </c>
    </row>
    <row r="6" spans="1:14" ht="6.75" customHeight="1">
      <c r="A6" s="592"/>
      <c r="B6" s="592"/>
      <c r="C6" s="592"/>
      <c r="D6" s="592"/>
    </row>
    <row r="7" spans="1:14" s="2343" customFormat="1" ht="4.5" customHeight="1">
      <c r="A7" s="1010"/>
      <c r="B7" s="1010"/>
      <c r="C7" s="1010"/>
      <c r="D7" s="1010"/>
      <c r="E7" s="1010"/>
      <c r="F7" s="1010"/>
      <c r="G7" s="1010"/>
    </row>
    <row r="8" spans="1:14" s="2343" customFormat="1">
      <c r="A8" s="1019" t="s">
        <v>103</v>
      </c>
      <c r="B8" s="1011"/>
      <c r="C8" s="1011"/>
      <c r="D8" s="1011"/>
      <c r="E8" s="1011"/>
      <c r="F8" s="1011"/>
      <c r="G8" s="1011"/>
      <c r="H8" s="1011"/>
    </row>
    <row r="9" spans="1:14" s="2343" customFormat="1" ht="41.25" customHeight="1">
      <c r="A9" s="2977" t="str">
        <f>'Part IV-A-Uses of Funds'!$C$14</f>
        <v>Environmental:  Lead in Soils Mitigation</v>
      </c>
      <c r="B9" s="2978"/>
      <c r="C9" s="2978"/>
      <c r="D9" s="2979"/>
      <c r="F9" s="2974" t="s">
        <v>4737</v>
      </c>
      <c r="G9" s="1011"/>
      <c r="H9" s="2974" t="s">
        <v>4677</v>
      </c>
    </row>
    <row r="10" spans="1:14" s="2343" customFormat="1" ht="41.25" customHeight="1">
      <c r="A10" s="2968"/>
      <c r="B10" s="2969"/>
      <c r="C10" s="2969"/>
      <c r="D10" s="2970"/>
      <c r="F10" s="2975"/>
      <c r="G10" s="1011"/>
      <c r="H10" s="2975"/>
    </row>
    <row r="11" spans="1:14" s="2343" customFormat="1" ht="4.5" customHeight="1">
      <c r="F11" s="2975"/>
      <c r="G11" s="1011"/>
      <c r="H11" s="2975"/>
    </row>
    <row r="12" spans="1:14" s="2343" customFormat="1" ht="15" customHeight="1">
      <c r="A12" s="1018" t="s">
        <v>3736</v>
      </c>
      <c r="B12" s="1017">
        <f>'Part IV-A-Uses of Funds'!$G$14</f>
        <v>12880</v>
      </c>
      <c r="C12" s="1018" t="s">
        <v>1803</v>
      </c>
      <c r="D12" s="1017">
        <f>'Part IV-A-Uses of Funds'!$J$14+'Part IV-A-Uses of Funds'!$M$14+'Part IV-A-Uses of Funds'!$P$14</f>
        <v>12880</v>
      </c>
      <c r="F12" s="2975"/>
      <c r="G12" s="1011"/>
      <c r="H12" s="2975"/>
    </row>
    <row r="13" spans="1:14" s="2343" customFormat="1" ht="6" customHeight="1">
      <c r="A13" s="1011"/>
      <c r="B13" s="1012"/>
      <c r="C13" s="1011"/>
      <c r="D13" s="1011"/>
      <c r="F13" s="2975"/>
      <c r="G13" s="1013"/>
      <c r="H13" s="2975"/>
    </row>
    <row r="14" spans="1:14" s="2343" customFormat="1" ht="41.25" customHeight="1">
      <c r="A14" s="2977" t="str">
        <f>'Part IV-A-Uses of Funds'!$C$15</f>
        <v>&lt;&lt; Enter description here; provide detail &amp; justification in tab Part IV-b &gt;&gt;</v>
      </c>
      <c r="B14" s="2978"/>
      <c r="C14" s="2978"/>
      <c r="D14" s="2979"/>
      <c r="F14" s="2975"/>
      <c r="G14" s="1011"/>
      <c r="H14" s="2975"/>
    </row>
    <row r="15" spans="1:14" s="2343" customFormat="1" ht="41.25" customHeight="1">
      <c r="A15" s="2968"/>
      <c r="B15" s="2969"/>
      <c r="C15" s="2969"/>
      <c r="D15" s="2970"/>
      <c r="F15" s="2975"/>
      <c r="G15" s="1011"/>
      <c r="H15" s="2975"/>
    </row>
    <row r="16" spans="1:14" s="2343" customFormat="1" ht="4.5" customHeight="1">
      <c r="F16" s="2975"/>
      <c r="G16" s="1011"/>
      <c r="H16" s="2975"/>
    </row>
    <row r="17" spans="1:8" s="2343" customFormat="1" ht="15" customHeight="1">
      <c r="A17" s="1018" t="s">
        <v>3736</v>
      </c>
      <c r="B17" s="1017">
        <f>'Part IV-A-Uses of Funds'!$G$15</f>
        <v>0</v>
      </c>
      <c r="C17" s="1018" t="s">
        <v>1803</v>
      </c>
      <c r="D17" s="1017">
        <f>'Part IV-A-Uses of Funds'!$J$15+'Part IV-A-Uses of Funds'!$M$15+'Part IV-A-Uses of Funds'!$P$15</f>
        <v>0</v>
      </c>
      <c r="F17" s="2975"/>
      <c r="G17" s="1011"/>
      <c r="H17" s="2975"/>
    </row>
    <row r="18" spans="1:8" s="2343" customFormat="1" ht="6" customHeight="1">
      <c r="A18" s="1011"/>
      <c r="B18" s="1012"/>
      <c r="C18" s="1011"/>
      <c r="D18" s="1011"/>
      <c r="F18" s="2975"/>
      <c r="G18" s="1013"/>
      <c r="H18" s="2975"/>
    </row>
    <row r="19" spans="1:8" s="2343" customFormat="1" ht="41.25" customHeight="1">
      <c r="A19" s="2977" t="str">
        <f>'Part IV-A-Uses of Funds'!$C$16</f>
        <v>&lt;&lt; Enter description here; provide detail &amp; justification in tab Part IV-b &gt;&gt;</v>
      </c>
      <c r="B19" s="2978"/>
      <c r="C19" s="2978"/>
      <c r="D19" s="2979"/>
      <c r="F19" s="2975"/>
      <c r="G19" s="1011"/>
      <c r="H19" s="2975"/>
    </row>
    <row r="20" spans="1:8" s="2343" customFormat="1" ht="41.25" customHeight="1">
      <c r="A20" s="2968"/>
      <c r="B20" s="2969"/>
      <c r="C20" s="2969"/>
      <c r="D20" s="2970"/>
      <c r="F20" s="2975"/>
      <c r="G20" s="1011"/>
      <c r="H20" s="2975"/>
    </row>
    <row r="21" spans="1:8" s="2343" customFormat="1" ht="4.5" customHeight="1">
      <c r="F21" s="2975"/>
      <c r="G21" s="1011"/>
      <c r="H21" s="2975"/>
    </row>
    <row r="22" spans="1:8" s="2343" customFormat="1" ht="15" customHeight="1">
      <c r="A22" s="1018" t="s">
        <v>3736</v>
      </c>
      <c r="B22" s="1017">
        <f>'Part IV-A-Uses of Funds'!$G$16</f>
        <v>0</v>
      </c>
      <c r="C22" s="1018" t="s">
        <v>1803</v>
      </c>
      <c r="D22" s="1017">
        <f>'Part IV-A-Uses of Funds'!$J$16+'Part IV-A-Uses of Funds'!$M$16+'Part IV-A-Uses of Funds'!$P$16</f>
        <v>0</v>
      </c>
      <c r="F22" s="2975"/>
      <c r="G22" s="1011"/>
      <c r="H22" s="2975"/>
    </row>
    <row r="23" spans="1:8" s="2343" customFormat="1" ht="6" customHeight="1">
      <c r="A23" s="1011"/>
      <c r="B23" s="1012"/>
      <c r="C23" s="1011"/>
      <c r="D23" s="1011"/>
      <c r="F23" s="2976"/>
      <c r="G23" s="1013"/>
      <c r="H23" s="2976"/>
    </row>
    <row r="24" spans="1:8" s="2343" customFormat="1">
      <c r="A24" s="1019" t="s">
        <v>3735</v>
      </c>
      <c r="B24" s="1011"/>
      <c r="C24" s="1011"/>
      <c r="D24" s="1011"/>
      <c r="E24" s="1011"/>
      <c r="F24" s="1011"/>
      <c r="G24" s="1011"/>
    </row>
    <row r="25" spans="1:8" s="2343" customFormat="1" ht="41.25" customHeight="1">
      <c r="A25" s="2977" t="str">
        <f>'Part IV-A-Uses of Funds'!$C$41</f>
        <v>&lt;&lt; Enter description here; provide detail &amp; justification in tab Part IV-b &gt;&gt;</v>
      </c>
      <c r="B25" s="2978"/>
      <c r="C25" s="2978"/>
      <c r="D25" s="2979"/>
      <c r="E25" s="1011"/>
      <c r="F25" s="2971"/>
      <c r="G25" s="1011"/>
      <c r="H25" s="2971"/>
    </row>
    <row r="26" spans="1:8" s="2343" customFormat="1" ht="41.25" customHeight="1">
      <c r="A26" s="2968"/>
      <c r="B26" s="2969"/>
      <c r="C26" s="2969"/>
      <c r="D26" s="2970"/>
      <c r="E26" s="1011"/>
      <c r="F26" s="2972"/>
      <c r="G26" s="1011"/>
      <c r="H26" s="2972"/>
    </row>
    <row r="27" spans="1:8" s="2343" customFormat="1" ht="4.5" customHeight="1">
      <c r="A27" s="1011"/>
      <c r="B27" s="1011"/>
      <c r="C27" s="1011"/>
      <c r="D27" s="1011"/>
      <c r="E27" s="1011"/>
      <c r="F27" s="2972"/>
      <c r="G27" s="1011"/>
      <c r="H27" s="2972"/>
    </row>
    <row r="28" spans="1:8" s="2343" customFormat="1" ht="25.5">
      <c r="A28" s="1018" t="s">
        <v>3736</v>
      </c>
      <c r="B28" s="1017">
        <f>'Part IV-A-Uses of Funds'!$G$41</f>
        <v>0</v>
      </c>
      <c r="C28" s="1018" t="s">
        <v>1803</v>
      </c>
      <c r="D28" s="1017">
        <f>'Part IV-A-Uses of Funds'!$J$41+'Part IV-A-Uses of Funds'!$M$41+'Part IV-A-Uses of Funds'!$P$41</f>
        <v>0</v>
      </c>
      <c r="E28" s="1011"/>
      <c r="F28" s="2972"/>
      <c r="G28" s="1011"/>
      <c r="H28" s="2972"/>
    </row>
    <row r="29" spans="1:8" s="2343" customFormat="1" ht="6" customHeight="1">
      <c r="A29" s="1011"/>
      <c r="B29" s="1012"/>
      <c r="C29" s="1011"/>
      <c r="D29" s="1011"/>
      <c r="E29" s="1011"/>
      <c r="F29" s="2973"/>
      <c r="G29" s="1013"/>
      <c r="H29" s="2973"/>
    </row>
    <row r="30" spans="1:8" s="2343" customFormat="1">
      <c r="A30" s="1019" t="s">
        <v>730</v>
      </c>
      <c r="B30" s="1011"/>
      <c r="C30" s="1011"/>
      <c r="D30" s="1011"/>
      <c r="E30" s="1011"/>
      <c r="F30" s="1011"/>
      <c r="G30" s="1011"/>
    </row>
    <row r="31" spans="1:8" s="2343" customFormat="1" ht="41.25" customHeight="1">
      <c r="A31" s="2965" t="str">
        <f>'Part IV-A-Uses of Funds'!$C$62</f>
        <v>&lt;&lt; Enter description here; provide detail &amp; justification in tab Part IV-b &gt;&gt;</v>
      </c>
      <c r="B31" s="2966"/>
      <c r="C31" s="2966"/>
      <c r="D31" s="2967"/>
      <c r="E31" s="1011"/>
      <c r="F31" s="2974"/>
      <c r="G31" s="1011"/>
      <c r="H31" s="2974"/>
    </row>
    <row r="32" spans="1:8" s="2343" customFormat="1" ht="41.25" customHeight="1">
      <c r="A32" s="2968"/>
      <c r="B32" s="2969"/>
      <c r="C32" s="2969"/>
      <c r="D32" s="2970"/>
      <c r="E32" s="1011"/>
      <c r="F32" s="2975"/>
      <c r="G32" s="1011"/>
      <c r="H32" s="2975"/>
    </row>
    <row r="33" spans="1:8" s="2343" customFormat="1" ht="4.5" customHeight="1">
      <c r="A33" s="1011"/>
      <c r="B33" s="1011"/>
      <c r="C33" s="1011"/>
      <c r="D33" s="1011"/>
      <c r="E33" s="1011"/>
      <c r="F33" s="2975"/>
      <c r="G33" s="1011"/>
      <c r="H33" s="2975"/>
    </row>
    <row r="34" spans="1:8" s="2343" customFormat="1" ht="14.25" customHeight="1">
      <c r="A34" s="1018" t="s">
        <v>3736</v>
      </c>
      <c r="B34" s="1017">
        <f>'Part IV-A-Uses of Funds'!$G$62</f>
        <v>0</v>
      </c>
      <c r="C34" s="1018" t="s">
        <v>1803</v>
      </c>
      <c r="D34" s="1017">
        <f>'Part IV-A-Uses of Funds'!$J$62+'Part IV-A-Uses of Funds'!$M$62+'Part IV-A-Uses of Funds'!$P$62</f>
        <v>0</v>
      </c>
      <c r="E34" s="1011"/>
      <c r="F34" s="2975"/>
      <c r="G34" s="1011"/>
      <c r="H34" s="2975"/>
    </row>
    <row r="35" spans="1:8" s="2343" customFormat="1" ht="6" customHeight="1">
      <c r="D35" s="1011"/>
      <c r="E35" s="1011"/>
      <c r="F35" s="2975"/>
      <c r="G35" s="1013"/>
      <c r="H35" s="2975"/>
    </row>
    <row r="36" spans="1:8" s="2343" customFormat="1" ht="41.25" customHeight="1">
      <c r="A36" s="2965" t="str">
        <f>'Part IV-A-Uses of Funds'!$C$63</f>
        <v>Bank Misc. Fees</v>
      </c>
      <c r="B36" s="2966"/>
      <c r="C36" s="2966"/>
      <c r="D36" s="2967"/>
      <c r="E36" s="1011"/>
      <c r="F36" s="2975" t="s">
        <v>4676</v>
      </c>
      <c r="G36" s="1011"/>
      <c r="H36" s="2975" t="s">
        <v>4677</v>
      </c>
    </row>
    <row r="37" spans="1:8" s="2343" customFormat="1" ht="41.25" customHeight="1">
      <c r="A37" s="2968"/>
      <c r="B37" s="2969"/>
      <c r="C37" s="2969"/>
      <c r="D37" s="2970"/>
      <c r="E37" s="1011"/>
      <c r="F37" s="2975"/>
      <c r="G37" s="1011"/>
      <c r="H37" s="2975"/>
    </row>
    <row r="38" spans="1:8" s="2343" customFormat="1" ht="4.5" customHeight="1">
      <c r="A38" s="1011"/>
      <c r="B38" s="1011"/>
      <c r="C38" s="1011"/>
      <c r="D38" s="1011"/>
      <c r="E38" s="1011"/>
      <c r="F38" s="2975"/>
      <c r="G38" s="1011"/>
      <c r="H38" s="2975"/>
    </row>
    <row r="39" spans="1:8" s="2343" customFormat="1" ht="14.25" customHeight="1">
      <c r="A39" s="1018" t="s">
        <v>3736</v>
      </c>
      <c r="B39" s="1017">
        <f>'Part IV-A-Uses of Funds'!$G$63</f>
        <v>4500</v>
      </c>
      <c r="C39" s="1018" t="s">
        <v>1803</v>
      </c>
      <c r="D39" s="1017">
        <f>'Part IV-A-Uses of Funds'!$J$63+'Part IV-A-Uses of Funds'!$M$63+'Part IV-A-Uses of Funds'!$P$63</f>
        <v>4500</v>
      </c>
      <c r="E39" s="1011"/>
      <c r="F39" s="2975"/>
      <c r="G39" s="1011"/>
      <c r="H39" s="2975"/>
    </row>
    <row r="40" spans="1:8" s="2343" customFormat="1" ht="6" customHeight="1">
      <c r="D40" s="1011"/>
      <c r="E40" s="1011"/>
      <c r="F40" s="2976"/>
      <c r="G40" s="1013"/>
      <c r="H40" s="2976"/>
    </row>
    <row r="41" spans="1:8" s="2343" customFormat="1">
      <c r="A41" s="1019" t="s">
        <v>480</v>
      </c>
      <c r="B41" s="1011"/>
      <c r="C41" s="1011"/>
      <c r="D41" s="1011"/>
      <c r="E41" s="1015"/>
      <c r="F41" s="1015"/>
      <c r="G41" s="1011"/>
    </row>
    <row r="42" spans="1:8" s="2343" customFormat="1" ht="41.25" customHeight="1">
      <c r="A42" s="2965" t="str">
        <f>'Part IV-A-Uses of Funds'!$C$76</f>
        <v>Intangible Taxes</v>
      </c>
      <c r="B42" s="2966"/>
      <c r="C42" s="2966"/>
      <c r="D42" s="2967"/>
      <c r="F42" s="2971" t="s">
        <v>4692</v>
      </c>
      <c r="G42" s="1011"/>
      <c r="H42" s="2971" t="s">
        <v>4679</v>
      </c>
    </row>
    <row r="43" spans="1:8" s="2343" customFormat="1" ht="41.25" customHeight="1">
      <c r="A43" s="2968"/>
      <c r="B43" s="2969"/>
      <c r="C43" s="2969"/>
      <c r="D43" s="2970"/>
      <c r="E43" s="1011"/>
      <c r="F43" s="2972"/>
      <c r="G43" s="1011"/>
      <c r="H43" s="2972"/>
    </row>
    <row r="44" spans="1:8" s="2343" customFormat="1" ht="4.5" customHeight="1">
      <c r="A44" s="1011"/>
      <c r="B44" s="1011"/>
      <c r="C44" s="1011"/>
      <c r="D44" s="1011"/>
      <c r="E44" s="1011"/>
      <c r="F44" s="2972"/>
      <c r="G44" s="1011"/>
      <c r="H44" s="2972"/>
    </row>
    <row r="45" spans="1:8" s="2343" customFormat="1" ht="13.5" customHeight="1">
      <c r="A45" s="1018" t="s">
        <v>3736</v>
      </c>
      <c r="B45" s="1017">
        <f>'Part IV-A-Uses of Funds'!$G$76</f>
        <v>9000</v>
      </c>
      <c r="C45" s="1018" t="s">
        <v>1803</v>
      </c>
      <c r="D45" s="1017">
        <f>'Part IV-A-Uses of Funds'!$J$76+'Part IV-A-Uses of Funds'!$M$76+'Part IV-A-Uses of Funds'!$P$76</f>
        <v>0</v>
      </c>
      <c r="E45" s="1011"/>
      <c r="F45" s="2972"/>
      <c r="G45" s="1011"/>
      <c r="H45" s="2972"/>
    </row>
    <row r="46" spans="1:8" s="2343" customFormat="1" ht="6" customHeight="1">
      <c r="A46" s="1011"/>
      <c r="B46" s="1012"/>
      <c r="C46" s="1011"/>
      <c r="D46" s="1011"/>
      <c r="E46" s="1011"/>
      <c r="F46" s="2973"/>
      <c r="G46" s="1013"/>
      <c r="H46" s="2973"/>
    </row>
    <row r="47" spans="1:8" s="2343" customFormat="1">
      <c r="A47" s="1019" t="s">
        <v>732</v>
      </c>
      <c r="B47" s="1011"/>
      <c r="C47" s="1011"/>
      <c r="D47" s="1011"/>
      <c r="E47" s="1011"/>
      <c r="F47" s="1011"/>
      <c r="G47" s="1011"/>
    </row>
    <row r="48" spans="1:8" s="2343" customFormat="1" ht="41.25" customHeight="1">
      <c r="A48" s="2965" t="str">
        <f>'Part IV-A-Uses of Funds'!$C$90</f>
        <v>Perm Loan Due Diligence Docs.</v>
      </c>
      <c r="B48" s="2966"/>
      <c r="C48" s="2966"/>
      <c r="D48" s="2967"/>
      <c r="F48" s="2971" t="s">
        <v>4693</v>
      </c>
      <c r="G48" s="1011"/>
    </row>
    <row r="49" spans="1:7" s="2343" customFormat="1" ht="41.25" customHeight="1">
      <c r="A49" s="2968"/>
      <c r="B49" s="2969"/>
      <c r="C49" s="2969"/>
      <c r="D49" s="2970"/>
      <c r="E49" s="1011"/>
      <c r="F49" s="2972"/>
      <c r="G49" s="1011"/>
    </row>
    <row r="50" spans="1:7" s="2343" customFormat="1" ht="3" customHeight="1">
      <c r="A50" s="1011"/>
      <c r="B50" s="1011"/>
      <c r="C50" s="1011"/>
      <c r="D50" s="1011"/>
      <c r="E50" s="1011"/>
      <c r="F50" s="2972"/>
      <c r="G50" s="1011"/>
    </row>
    <row r="51" spans="1:7" s="2343" customFormat="1" ht="13.5" customHeight="1">
      <c r="A51" s="1018" t="s">
        <v>3736</v>
      </c>
      <c r="B51" s="1017">
        <f>'Part IV-A-Uses of Funds'!$G$90</f>
        <v>26000</v>
      </c>
      <c r="C51" s="1014"/>
      <c r="D51" s="1014"/>
      <c r="E51" s="1011"/>
      <c r="F51" s="2972"/>
      <c r="G51" s="1011"/>
    </row>
    <row r="52" spans="1:7" s="2343" customFormat="1" ht="3.75" customHeight="1">
      <c r="A52" s="1011"/>
      <c r="B52" s="1011"/>
      <c r="C52" s="1011"/>
      <c r="D52" s="1011"/>
      <c r="E52" s="1011"/>
      <c r="F52" s="2973"/>
      <c r="G52" s="1013"/>
    </row>
    <row r="53" spans="1:7" s="2343" customFormat="1">
      <c r="A53" s="1019" t="s">
        <v>3737</v>
      </c>
      <c r="B53" s="1011"/>
      <c r="C53" s="1011"/>
      <c r="D53" s="1011"/>
      <c r="E53" s="1011"/>
      <c r="F53" s="1011"/>
      <c r="G53" s="1011"/>
    </row>
    <row r="54" spans="1:7" s="2343" customFormat="1" ht="41.25" customHeight="1">
      <c r="A54" s="2965" t="str">
        <f>'Part IV-A-Uses of Funds'!$C$103</f>
        <v>&lt;&lt; Enter description here; provide detail &amp; justification in tab Part IV-b &gt;&gt;</v>
      </c>
      <c r="B54" s="2966"/>
      <c r="C54" s="2966"/>
      <c r="D54" s="2967"/>
      <c r="F54" s="2974"/>
      <c r="G54" s="1011"/>
    </row>
    <row r="55" spans="1:7" s="2343" customFormat="1" ht="41.25" customHeight="1">
      <c r="A55" s="2968"/>
      <c r="B55" s="2969"/>
      <c r="C55" s="2969"/>
      <c r="D55" s="2970"/>
      <c r="E55" s="1011"/>
      <c r="F55" s="2975"/>
      <c r="G55" s="1011"/>
    </row>
    <row r="56" spans="1:7" s="2343" customFormat="1" ht="3" customHeight="1">
      <c r="A56" s="1011"/>
      <c r="B56" s="1011"/>
      <c r="C56" s="1011"/>
      <c r="D56" s="1011"/>
      <c r="E56" s="1011"/>
      <c r="F56" s="2975"/>
      <c r="G56" s="1011"/>
    </row>
    <row r="57" spans="1:7" s="2343" customFormat="1" ht="25.5">
      <c r="A57" s="1018" t="s">
        <v>3736</v>
      </c>
      <c r="B57" s="1017">
        <f>'Part IV-A-Uses of Funds'!$G$103</f>
        <v>0</v>
      </c>
      <c r="C57" s="1014"/>
      <c r="D57" s="1014"/>
      <c r="E57" s="1011"/>
      <c r="F57" s="2975"/>
      <c r="G57" s="1011"/>
    </row>
    <row r="58" spans="1:7" s="2343" customFormat="1" ht="3.75" customHeight="1">
      <c r="A58" s="1010"/>
      <c r="B58" s="1010"/>
      <c r="C58" s="1010"/>
      <c r="D58" s="1010"/>
      <c r="E58" s="1010"/>
      <c r="F58" s="2975"/>
      <c r="G58" s="1013"/>
    </row>
    <row r="59" spans="1:7" s="2343" customFormat="1" ht="41.25" customHeight="1">
      <c r="A59" s="2965" t="str">
        <f>'Part IV-A-Uses of Funds'!$C$104</f>
        <v>&lt;&lt; Enter description here; provide detail &amp; justification in tab Part IV-b &gt;&gt;</v>
      </c>
      <c r="B59" s="2966"/>
      <c r="C59" s="2966"/>
      <c r="D59" s="2967"/>
      <c r="F59" s="2975"/>
      <c r="G59" s="1011"/>
    </row>
    <row r="60" spans="1:7" s="2343" customFormat="1" ht="41.25" customHeight="1">
      <c r="A60" s="2968"/>
      <c r="B60" s="2969"/>
      <c r="C60" s="2969"/>
      <c r="D60" s="2970"/>
      <c r="E60" s="1011"/>
      <c r="F60" s="2975"/>
      <c r="G60" s="1011"/>
    </row>
    <row r="61" spans="1:7" s="2343" customFormat="1" ht="3" customHeight="1">
      <c r="A61" s="1011"/>
      <c r="B61" s="1011"/>
      <c r="C61" s="1011"/>
      <c r="D61" s="1011"/>
      <c r="E61" s="1011"/>
      <c r="F61" s="2975"/>
      <c r="G61" s="1011"/>
    </row>
    <row r="62" spans="1:7" s="2343" customFormat="1" ht="25.5">
      <c r="A62" s="1018" t="s">
        <v>3736</v>
      </c>
      <c r="B62" s="1017">
        <f>'Part IV-A-Uses of Funds'!$G$104</f>
        <v>0</v>
      </c>
      <c r="C62" s="1014"/>
      <c r="D62" s="1014"/>
      <c r="E62" s="1011"/>
      <c r="F62" s="2975"/>
      <c r="G62" s="1011"/>
    </row>
    <row r="63" spans="1:7" s="2343" customFormat="1" ht="3.75" customHeight="1">
      <c r="A63" s="1010"/>
      <c r="B63" s="1010"/>
      <c r="C63" s="1010"/>
      <c r="D63" s="1010"/>
      <c r="E63" s="1010"/>
      <c r="F63" s="2976"/>
      <c r="G63" s="1013"/>
    </row>
    <row r="64" spans="1:7" s="2343" customFormat="1">
      <c r="A64" s="1019" t="s">
        <v>3738</v>
      </c>
      <c r="B64" s="1011"/>
      <c r="C64" s="1011"/>
      <c r="D64" s="1011"/>
      <c r="E64" s="1011"/>
      <c r="F64" s="1011"/>
      <c r="G64" s="1011"/>
    </row>
    <row r="65" spans="1:8" s="2343" customFormat="1" ht="41.25" customHeight="1">
      <c r="A65" s="2965" t="str">
        <f>'Part IV-A-Uses of Funds'!$C$110</f>
        <v>&lt;&lt; Enter description here; provide detail &amp; justification in tab Part IV-b &gt;&gt;</v>
      </c>
      <c r="B65" s="2966"/>
      <c r="C65" s="2966"/>
      <c r="D65" s="2967"/>
      <c r="F65" s="2971"/>
      <c r="G65" s="1011"/>
    </row>
    <row r="66" spans="1:8" s="2343" customFormat="1" ht="41.25" customHeight="1">
      <c r="A66" s="2968"/>
      <c r="B66" s="2969"/>
      <c r="C66" s="2969"/>
      <c r="D66" s="2970"/>
      <c r="E66" s="1011"/>
      <c r="F66" s="2972"/>
      <c r="G66" s="1011"/>
    </row>
    <row r="67" spans="1:8" s="2343" customFormat="1" ht="3" customHeight="1">
      <c r="A67" s="1011"/>
      <c r="B67" s="1011"/>
      <c r="C67" s="1011"/>
      <c r="D67" s="1011"/>
      <c r="E67" s="1011"/>
      <c r="F67" s="2972"/>
      <c r="G67" s="1011"/>
    </row>
    <row r="68" spans="1:8" s="2343" customFormat="1" ht="25.5">
      <c r="A68" s="1018" t="s">
        <v>3736</v>
      </c>
      <c r="B68" s="1017">
        <f>'Part IV-A-Uses of Funds'!$G$110</f>
        <v>0</v>
      </c>
      <c r="C68" s="1014"/>
      <c r="D68" s="1014"/>
      <c r="E68" s="1011"/>
      <c r="F68" s="2972"/>
      <c r="G68" s="1011"/>
    </row>
    <row r="69" spans="1:8" s="2343" customFormat="1" ht="3.75" customHeight="1">
      <c r="A69" s="1011"/>
      <c r="B69" s="1012"/>
      <c r="C69" s="1011"/>
      <c r="D69" s="1011"/>
      <c r="E69" s="1011"/>
      <c r="F69" s="2973"/>
      <c r="G69" s="1013"/>
    </row>
    <row r="70" spans="1:8" s="2343" customFormat="1">
      <c r="A70" s="1019" t="s">
        <v>1321</v>
      </c>
      <c r="B70" s="1011"/>
      <c r="C70" s="1011"/>
      <c r="D70" s="1011"/>
      <c r="E70" s="1011"/>
      <c r="F70" s="1011"/>
      <c r="G70" s="1011"/>
    </row>
    <row r="71" spans="1:8" s="2343" customFormat="1" ht="41.25" customHeight="1">
      <c r="A71" s="2965" t="str">
        <f>'Part IV-A-Uses of Funds'!$C$125</f>
        <v>&lt;&lt; Enter description here; provide detail &amp; justification in tab Part IV-b &gt;&gt;</v>
      </c>
      <c r="B71" s="2966"/>
      <c r="C71" s="2966"/>
      <c r="D71" s="2967"/>
      <c r="F71" s="2971"/>
      <c r="G71" s="1011"/>
      <c r="H71" s="2971"/>
    </row>
    <row r="72" spans="1:8" s="2343" customFormat="1" ht="41.25" customHeight="1">
      <c r="A72" s="2968"/>
      <c r="B72" s="2969"/>
      <c r="C72" s="2969"/>
      <c r="D72" s="2970"/>
      <c r="E72" s="1011"/>
      <c r="F72" s="2972"/>
      <c r="G72" s="1011"/>
      <c r="H72" s="2972"/>
    </row>
    <row r="73" spans="1:8" s="2343" customFormat="1" ht="4.5" customHeight="1">
      <c r="A73" s="1011"/>
      <c r="B73" s="1011"/>
      <c r="C73" s="1011"/>
      <c r="D73" s="1011"/>
      <c r="E73" s="1011"/>
      <c r="F73" s="2972"/>
      <c r="G73" s="1011"/>
      <c r="H73" s="2972"/>
    </row>
    <row r="74" spans="1:8" s="2343" customFormat="1" ht="12.75" customHeight="1">
      <c r="A74" s="1018" t="s">
        <v>3736</v>
      </c>
      <c r="B74" s="1017">
        <f>'Part IV-A-Uses of Funds'!$G$125</f>
        <v>0</v>
      </c>
      <c r="C74" s="1018" t="s">
        <v>1803</v>
      </c>
      <c r="D74" s="1017">
        <f>'Part IV-A-Uses of Funds'!$J$125+'Part IV-A-Uses of Funds'!$M$125+'Part IV-A-Uses of Funds'!$P$125</f>
        <v>0</v>
      </c>
      <c r="E74" s="1011"/>
      <c r="F74" s="2972"/>
      <c r="G74" s="1011"/>
      <c r="H74" s="2972"/>
    </row>
    <row r="75" spans="1:8" s="2343" customFormat="1" ht="6" customHeight="1">
      <c r="A75" s="1011"/>
      <c r="B75" s="1012"/>
      <c r="C75" s="1011"/>
      <c r="D75" s="1011"/>
      <c r="E75" s="1011"/>
      <c r="F75" s="2973"/>
      <c r="G75" s="1013"/>
      <c r="H75" s="2973"/>
    </row>
    <row r="76" spans="1:8" s="2343" customFormat="1">
      <c r="A76" s="1019" t="s">
        <v>3739</v>
      </c>
      <c r="B76" s="1012"/>
      <c r="C76" s="1011"/>
      <c r="D76" s="1011"/>
      <c r="E76" s="1011"/>
      <c r="F76" s="1011"/>
      <c r="G76" s="1013"/>
    </row>
    <row r="77" spans="1:8" s="2343" customFormat="1" ht="41.25" customHeight="1">
      <c r="A77" s="2965" t="str">
        <f>'Part IV-A-Uses of Funds'!$C$129</f>
        <v>Copying/UPS/FedEx, etc.</v>
      </c>
      <c r="B77" s="2966"/>
      <c r="C77" s="2966"/>
      <c r="D77" s="2967"/>
      <c r="F77" s="2971" t="s">
        <v>4715</v>
      </c>
      <c r="G77" s="1011"/>
      <c r="H77" s="2971" t="s">
        <v>4677</v>
      </c>
    </row>
    <row r="78" spans="1:8" s="2343" customFormat="1" ht="41.25" customHeight="1">
      <c r="A78" s="2968"/>
      <c r="B78" s="2969"/>
      <c r="C78" s="2969"/>
      <c r="D78" s="2970"/>
      <c r="E78" s="1011"/>
      <c r="F78" s="2972"/>
      <c r="G78" s="1011"/>
      <c r="H78" s="2972"/>
    </row>
    <row r="79" spans="1:8" s="2343" customFormat="1" ht="4.5" customHeight="1">
      <c r="A79" s="1011"/>
      <c r="B79" s="1011"/>
      <c r="C79" s="1011"/>
      <c r="D79" s="1011"/>
      <c r="E79" s="1011"/>
      <c r="F79" s="2972"/>
      <c r="G79" s="1011"/>
      <c r="H79" s="2972"/>
    </row>
    <row r="80" spans="1:8" s="2343" customFormat="1" ht="12.75" customHeight="1">
      <c r="A80" s="1018" t="s">
        <v>3736</v>
      </c>
      <c r="B80" s="1017">
        <f>'Part IV-A-Uses of Funds'!$G$129</f>
        <v>7982</v>
      </c>
      <c r="C80" s="1018" t="s">
        <v>1803</v>
      </c>
      <c r="D80" s="1017">
        <f>'Part IV-A-Uses of Funds'!$J$129+'Part IV-A-Uses of Funds'!$M$129+'Part IV-A-Uses of Funds'!$P$129</f>
        <v>7982</v>
      </c>
      <c r="E80" s="1016"/>
      <c r="F80" s="2972"/>
      <c r="G80" s="1011"/>
      <c r="H80" s="2972"/>
    </row>
    <row r="81" spans="4:8" s="2343" customFormat="1" ht="6" customHeight="1">
      <c r="D81" s="1618"/>
      <c r="E81" s="2344"/>
      <c r="F81" s="2973"/>
      <c r="G81" s="1013"/>
      <c r="H81" s="2973"/>
    </row>
    <row r="82" spans="4:8" s="2343" customFormat="1"/>
    <row r="83" spans="4:8" s="2343" customFormat="1"/>
    <row r="84" spans="4:8" s="2343" customFormat="1"/>
    <row r="85" spans="4:8" s="2343" customFormat="1"/>
    <row r="86" spans="4:8" s="2343" customFormat="1"/>
    <row r="87" spans="4:8" s="2343" customFormat="1"/>
    <row r="88" spans="4:8" s="2343" customFormat="1"/>
    <row r="89" spans="4:8" s="2343" customFormat="1"/>
    <row r="90" spans="4:8" s="2343" customFormat="1"/>
    <row r="91" spans="4:8" s="2343" customFormat="1"/>
    <row r="92" spans="4:8" s="2343" customFormat="1"/>
  </sheetData>
  <sheetProtection algorithmName="SHA-512" hashValue="ZLvC8XUmtbvrGTOyfPX1e8aCRTobrvdD7VV6uEY3/hClAlVjKhoZSnFkAjPAJcnN6Cq/4+A/LS5s5vrdC3z+xA==" saltValue="rVn0w8METjuUALbb4tEvy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5"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6" t="str">
        <f>CONCATENATE("PART FIVE - UTILITY ALLOWANCES","  -  ",'Part I-Project Information'!$O$6," ",'Part I-Project Information'!$F$34,", ",'Part I-Project Information'!F38,", ",'Part I-Project Information'!J39," County")</f>
        <v>PART FIVE - UTILITY ALLOWANCES  -  2018-021 Grayling Place, Columbus, Muscogee County</v>
      </c>
      <c r="B1" s="3007"/>
      <c r="C1" s="3007"/>
      <c r="D1" s="3007"/>
      <c r="E1" s="3007"/>
      <c r="F1" s="3007"/>
      <c r="G1" s="3007"/>
      <c r="H1" s="3007"/>
      <c r="I1" s="3007"/>
      <c r="J1" s="3007"/>
      <c r="K1" s="3007"/>
      <c r="L1" s="3007"/>
      <c r="M1" s="3007"/>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2244</v>
      </c>
      <c r="F7" s="8" t="s">
        <v>2537</v>
      </c>
      <c r="I7" s="3008" t="s">
        <v>4618</v>
      </c>
      <c r="J7" s="2990"/>
      <c r="K7" s="2990"/>
      <c r="L7" s="2990"/>
      <c r="M7" s="2991"/>
    </row>
    <row r="8" spans="1:20" s="8" customFormat="1" ht="13.15" customHeight="1">
      <c r="A8" s="14"/>
      <c r="F8" s="8" t="s">
        <v>642</v>
      </c>
      <c r="H8" s="28"/>
      <c r="I8" s="3002">
        <v>42941</v>
      </c>
      <c r="J8" s="3003"/>
      <c r="K8" s="63" t="s">
        <v>545</v>
      </c>
      <c r="L8" s="3004" t="s">
        <v>4616</v>
      </c>
      <c r="M8" s="3005"/>
    </row>
    <row r="9" spans="1:20" s="8" customFormat="1" ht="4.5" customHeight="1">
      <c r="A9" s="14"/>
    </row>
    <row r="10" spans="1:20" s="14" customFormat="1">
      <c r="B10" s="254"/>
      <c r="C10" s="254"/>
      <c r="D10" s="254"/>
      <c r="E10" s="254"/>
      <c r="F10" s="2998" t="s">
        <v>615</v>
      </c>
      <c r="G10" s="2998"/>
      <c r="I10" s="2999" t="s">
        <v>202</v>
      </c>
      <c r="J10" s="2999"/>
      <c r="K10" s="2999"/>
      <c r="L10" s="2999"/>
      <c r="M10" s="2999"/>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000" t="s">
        <v>4617</v>
      </c>
      <c r="E12" s="3001"/>
      <c r="F12" s="2334" t="s">
        <v>443</v>
      </c>
      <c r="G12" s="2334"/>
      <c r="H12" s="1120"/>
      <c r="I12" s="2335"/>
      <c r="J12" s="2335">
        <v>12</v>
      </c>
      <c r="K12" s="2335">
        <v>14</v>
      </c>
      <c r="L12" s="2335">
        <v>17</v>
      </c>
      <c r="M12" s="2335"/>
      <c r="O12" s="2986" t="s">
        <v>3859</v>
      </c>
      <c r="P12" s="2986"/>
    </row>
    <row r="13" spans="1:20" s="8" customFormat="1" ht="12" customHeight="1">
      <c r="B13" s="1112" t="s">
        <v>1609</v>
      </c>
      <c r="C13" s="1109"/>
      <c r="D13" s="2987" t="s">
        <v>1608</v>
      </c>
      <c r="E13" s="2988"/>
      <c r="F13" s="2336" t="s">
        <v>443</v>
      </c>
      <c r="G13" s="2336"/>
      <c r="H13" s="1117"/>
      <c r="I13" s="2337"/>
      <c r="J13" s="2337">
        <v>10</v>
      </c>
      <c r="K13" s="2337">
        <v>12</v>
      </c>
      <c r="L13" s="2338">
        <v>13</v>
      </c>
      <c r="M13" s="2338"/>
      <c r="O13" s="2986"/>
      <c r="P13" s="2986"/>
    </row>
    <row r="14" spans="1:20" s="8" customFormat="1" ht="12" customHeight="1">
      <c r="B14" s="1115" t="s">
        <v>1610</v>
      </c>
      <c r="C14" s="1114"/>
      <c r="D14" s="2987" t="s">
        <v>1608</v>
      </c>
      <c r="E14" s="2988"/>
      <c r="F14" s="2336" t="s">
        <v>443</v>
      </c>
      <c r="G14" s="2336"/>
      <c r="H14" s="257"/>
      <c r="I14" s="2337"/>
      <c r="J14" s="2337">
        <v>16</v>
      </c>
      <c r="K14" s="2337">
        <v>23</v>
      </c>
      <c r="L14" s="2338">
        <v>36</v>
      </c>
      <c r="M14" s="2338"/>
      <c r="O14" s="2986"/>
      <c r="P14" s="2986"/>
    </row>
    <row r="15" spans="1:20" s="8" customFormat="1" ht="12" customHeight="1">
      <c r="B15" s="1110" t="s">
        <v>471</v>
      </c>
      <c r="C15" s="258"/>
      <c r="D15" s="1110" t="s">
        <v>1608</v>
      </c>
      <c r="E15" s="258"/>
      <c r="F15" s="2336" t="s">
        <v>443</v>
      </c>
      <c r="G15" s="2336"/>
      <c r="H15" s="1116"/>
      <c r="I15" s="2337"/>
      <c r="J15" s="2337">
        <v>18</v>
      </c>
      <c r="K15" s="2337">
        <v>23</v>
      </c>
      <c r="L15" s="2338">
        <v>30</v>
      </c>
      <c r="M15" s="2338"/>
      <c r="O15" s="2986"/>
      <c r="P15" s="2986"/>
    </row>
    <row r="16" spans="1:20" s="8" customFormat="1" ht="12" customHeight="1">
      <c r="B16" s="1111" t="s">
        <v>3831</v>
      </c>
      <c r="C16" s="1109"/>
      <c r="D16" s="1112" t="s">
        <v>1608</v>
      </c>
      <c r="E16" s="1109"/>
      <c r="F16" s="2336"/>
      <c r="G16" s="2336"/>
      <c r="H16" s="1117"/>
      <c r="I16" s="2337"/>
      <c r="J16" s="2337"/>
      <c r="K16" s="2337"/>
      <c r="L16" s="2338"/>
      <c r="M16" s="2338"/>
      <c r="O16" s="2986"/>
      <c r="P16" s="2986"/>
    </row>
    <row r="17" spans="1:19" s="8" customFormat="1" ht="12" customHeight="1">
      <c r="B17" s="1111" t="s">
        <v>3832</v>
      </c>
      <c r="C17" s="1109"/>
      <c r="D17" s="1112" t="s">
        <v>1608</v>
      </c>
      <c r="E17" s="1109"/>
      <c r="F17" s="2336"/>
      <c r="G17" s="2336"/>
      <c r="H17" s="1117"/>
      <c r="I17" s="2337"/>
      <c r="J17" s="2337"/>
      <c r="K17" s="2337"/>
      <c r="L17" s="2338"/>
      <c r="M17" s="2338"/>
      <c r="O17" s="2986"/>
      <c r="P17" s="2986"/>
    </row>
    <row r="18" spans="1:19" s="8" customFormat="1" ht="12" customHeight="1">
      <c r="B18" s="1113" t="s">
        <v>3833</v>
      </c>
      <c r="C18" s="1114"/>
      <c r="D18" s="1115" t="s">
        <v>1608</v>
      </c>
      <c r="E18" s="1109"/>
      <c r="F18" s="2336" t="s">
        <v>443</v>
      </c>
      <c r="G18" s="2336"/>
      <c r="H18" s="257"/>
      <c r="I18" s="2337"/>
      <c r="J18" s="2337">
        <v>31</v>
      </c>
      <c r="K18" s="2337">
        <v>34</v>
      </c>
      <c r="L18" s="2338">
        <v>39</v>
      </c>
      <c r="M18" s="2338"/>
      <c r="O18" s="2986"/>
      <c r="P18" s="2986"/>
    </row>
    <row r="19" spans="1:19" s="8" customFormat="1" ht="12" customHeight="1">
      <c r="B19" s="1110" t="s">
        <v>1382</v>
      </c>
      <c r="C19" s="258"/>
      <c r="D19" s="668" t="s">
        <v>3493</v>
      </c>
      <c r="E19" s="2339" t="s">
        <v>3012</v>
      </c>
      <c r="F19" s="2336" t="s">
        <v>443</v>
      </c>
      <c r="G19" s="2336"/>
      <c r="H19" s="1116"/>
      <c r="I19" s="2337"/>
      <c r="J19" s="2337">
        <v>27</v>
      </c>
      <c r="K19" s="2337">
        <v>36</v>
      </c>
      <c r="L19" s="2338">
        <v>54</v>
      </c>
      <c r="M19" s="2338"/>
      <c r="O19" s="2986"/>
      <c r="P19" s="2986"/>
    </row>
    <row r="20" spans="1:19" s="8" customFormat="1" ht="12" customHeight="1">
      <c r="B20" s="1121" t="s">
        <v>1866</v>
      </c>
      <c r="C20" s="231"/>
      <c r="D20" s="259"/>
      <c r="E20" s="231"/>
      <c r="F20" s="2340"/>
      <c r="G20" s="2340" t="s">
        <v>443</v>
      </c>
      <c r="H20" s="1122"/>
      <c r="I20" s="2341"/>
      <c r="J20" s="2341"/>
      <c r="K20" s="2341"/>
      <c r="L20" s="2342"/>
      <c r="M20" s="2342"/>
      <c r="O20" s="2986"/>
      <c r="P20" s="298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114</v>
      </c>
      <c r="K21" s="1582">
        <f>IF(SUM(K12:K20)=0,0,IF(OR($D12="&lt;&lt;Select Fuel &gt;&gt;",$D13="&lt;&lt;Select Fuel &gt;&gt;",$D14="&lt;&lt;Select Fuel &gt;&gt;"),"Select Fuel",IF($E19="&lt;Select&gt;","Submeter?",SUM(K12:K20))))</f>
        <v>142</v>
      </c>
      <c r="L21" s="1582">
        <f>IF(SUM(L12:L20)=0,0,IF(OR($D12="&lt;&lt;Select Fuel &gt;&gt;",$D13="&lt;&lt;Select Fuel &gt;&gt;",$D14="&lt;&lt;Select Fuel &gt;&gt;"),"Select Fuel",IF($E19="&lt;Select&gt;","Submeter?",SUM(L12:L20))))</f>
        <v>189</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2989"/>
      <c r="J23" s="2990"/>
      <c r="K23" s="2990"/>
      <c r="L23" s="2990"/>
      <c r="M23" s="2991"/>
    </row>
    <row r="24" spans="1:19" s="8" customFormat="1" ht="13.15" customHeight="1">
      <c r="A24" s="14"/>
      <c r="B24" s="14"/>
      <c r="F24" s="8" t="s">
        <v>642</v>
      </c>
      <c r="H24" s="28"/>
      <c r="I24" s="3002"/>
      <c r="J24" s="3003"/>
      <c r="K24" s="63" t="s">
        <v>545</v>
      </c>
      <c r="L24" s="3004"/>
      <c r="M24" s="3005"/>
    </row>
    <row r="25" spans="1:19" s="8" customFormat="1" ht="4.5" customHeight="1">
      <c r="A25" s="14"/>
    </row>
    <row r="26" spans="1:19" s="14" customFormat="1">
      <c r="B26" s="254"/>
      <c r="C26" s="254"/>
      <c r="D26" s="254"/>
      <c r="E26" s="254"/>
      <c r="F26" s="2998" t="s">
        <v>615</v>
      </c>
      <c r="G26" s="2998"/>
      <c r="I26" s="2999" t="s">
        <v>202</v>
      </c>
      <c r="J26" s="2999"/>
      <c r="K26" s="2999"/>
      <c r="L26" s="2999"/>
      <c r="M26" s="2999"/>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000" t="s">
        <v>1833</v>
      </c>
      <c r="E28" s="3001"/>
      <c r="F28" s="2334"/>
      <c r="G28" s="2334"/>
      <c r="H28" s="1120"/>
      <c r="I28" s="2335"/>
      <c r="J28" s="2335"/>
      <c r="K28" s="2335"/>
      <c r="L28" s="2335"/>
      <c r="M28" s="2335"/>
      <c r="O28" s="2986" t="s">
        <v>3859</v>
      </c>
      <c r="P28" s="2986"/>
    </row>
    <row r="29" spans="1:19" s="8" customFormat="1" ht="12" customHeight="1">
      <c r="B29" s="1112" t="s">
        <v>1609</v>
      </c>
      <c r="C29" s="1109"/>
      <c r="D29" s="2987" t="s">
        <v>1833</v>
      </c>
      <c r="E29" s="2988"/>
      <c r="F29" s="2336"/>
      <c r="G29" s="2336"/>
      <c r="H29" s="1117"/>
      <c r="I29" s="2337"/>
      <c r="J29" s="2337"/>
      <c r="K29" s="2337"/>
      <c r="L29" s="2338"/>
      <c r="M29" s="2338"/>
      <c r="O29" s="2986"/>
      <c r="P29" s="2986"/>
    </row>
    <row r="30" spans="1:19" s="8" customFormat="1" ht="12" customHeight="1">
      <c r="B30" s="1115" t="s">
        <v>1610</v>
      </c>
      <c r="C30" s="1114"/>
      <c r="D30" s="2987" t="s">
        <v>1833</v>
      </c>
      <c r="E30" s="2988"/>
      <c r="F30" s="2336"/>
      <c r="G30" s="2336"/>
      <c r="H30" s="257"/>
      <c r="I30" s="2337"/>
      <c r="J30" s="2337"/>
      <c r="K30" s="2337"/>
      <c r="L30" s="2338"/>
      <c r="M30" s="2338"/>
      <c r="O30" s="2986"/>
      <c r="P30" s="2986"/>
    </row>
    <row r="31" spans="1:19" s="8" customFormat="1" ht="12" customHeight="1">
      <c r="B31" s="1110" t="s">
        <v>471</v>
      </c>
      <c r="C31" s="258"/>
      <c r="D31" s="1110" t="s">
        <v>1608</v>
      </c>
      <c r="E31" s="258"/>
      <c r="F31" s="2336"/>
      <c r="G31" s="2336"/>
      <c r="H31" s="1116"/>
      <c r="I31" s="2337"/>
      <c r="J31" s="2337"/>
      <c r="K31" s="2337"/>
      <c r="L31" s="2338"/>
      <c r="M31" s="2338"/>
      <c r="O31" s="2986"/>
      <c r="P31" s="2986"/>
    </row>
    <row r="32" spans="1:19" s="8" customFormat="1" ht="12" customHeight="1">
      <c r="B32" s="1111" t="s">
        <v>3831</v>
      </c>
      <c r="C32" s="1109"/>
      <c r="D32" s="1112" t="s">
        <v>1608</v>
      </c>
      <c r="E32" s="1109"/>
      <c r="F32" s="2336"/>
      <c r="G32" s="2336"/>
      <c r="H32" s="1117"/>
      <c r="I32" s="2337"/>
      <c r="J32" s="2337"/>
      <c r="K32" s="2337"/>
      <c r="L32" s="2338"/>
      <c r="M32" s="2338"/>
      <c r="O32" s="2986"/>
      <c r="P32" s="2986"/>
    </row>
    <row r="33" spans="1:19" s="8" customFormat="1" ht="12" customHeight="1">
      <c r="B33" s="1111" t="s">
        <v>3832</v>
      </c>
      <c r="C33" s="1109"/>
      <c r="D33" s="1112" t="s">
        <v>1608</v>
      </c>
      <c r="E33" s="1109"/>
      <c r="F33" s="2336"/>
      <c r="G33" s="2336"/>
      <c r="H33" s="1117"/>
      <c r="I33" s="2337"/>
      <c r="J33" s="2337"/>
      <c r="K33" s="2337"/>
      <c r="L33" s="2338"/>
      <c r="M33" s="2338"/>
      <c r="O33" s="2986"/>
      <c r="P33" s="2986"/>
    </row>
    <row r="34" spans="1:19" s="8" customFormat="1" ht="12" customHeight="1">
      <c r="B34" s="1113" t="s">
        <v>3833</v>
      </c>
      <c r="C34" s="1114"/>
      <c r="D34" s="1115" t="s">
        <v>1608</v>
      </c>
      <c r="E34" s="1109"/>
      <c r="F34" s="2336"/>
      <c r="G34" s="2336"/>
      <c r="H34" s="257"/>
      <c r="I34" s="2337"/>
      <c r="J34" s="2337"/>
      <c r="K34" s="2337"/>
      <c r="L34" s="2338"/>
      <c r="M34" s="2338"/>
      <c r="O34" s="2986"/>
      <c r="P34" s="2986"/>
    </row>
    <row r="35" spans="1:19" s="8" customFormat="1" ht="12" customHeight="1">
      <c r="B35" s="1110" t="s">
        <v>1382</v>
      </c>
      <c r="C35" s="258"/>
      <c r="D35" s="668" t="s">
        <v>3493</v>
      </c>
      <c r="E35" s="2339" t="s">
        <v>203</v>
      </c>
      <c r="F35" s="2336"/>
      <c r="G35" s="2336"/>
      <c r="H35" s="1116"/>
      <c r="I35" s="2337"/>
      <c r="J35" s="2337"/>
      <c r="K35" s="2337"/>
      <c r="L35" s="2338"/>
      <c r="M35" s="2338"/>
      <c r="O35" s="2986"/>
      <c r="P35" s="2986"/>
    </row>
    <row r="36" spans="1:19" s="8" customFormat="1" ht="12" customHeight="1">
      <c r="B36" s="1121" t="s">
        <v>1866</v>
      </c>
      <c r="C36" s="231"/>
      <c r="D36" s="259"/>
      <c r="E36" s="231"/>
      <c r="F36" s="2340"/>
      <c r="G36" s="2340"/>
      <c r="H36" s="1122"/>
      <c r="I36" s="2341"/>
      <c r="J36" s="2341"/>
      <c r="K36" s="2341"/>
      <c r="L36" s="2342"/>
      <c r="M36" s="2342"/>
      <c r="O36" s="2986"/>
      <c r="P36" s="298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992" t="s">
        <v>4694</v>
      </c>
      <c r="C41" s="2993"/>
      <c r="D41" s="2993"/>
      <c r="E41" s="2993"/>
      <c r="F41" s="2993"/>
      <c r="G41" s="2993"/>
      <c r="H41" s="2993"/>
      <c r="I41" s="2993"/>
      <c r="J41" s="2993"/>
      <c r="K41" s="2993"/>
      <c r="L41" s="2993"/>
      <c r="M41" s="2994"/>
      <c r="N41" s="28"/>
      <c r="O41" s="2434" t="s">
        <v>2711</v>
      </c>
      <c r="P41" s="2434"/>
      <c r="Q41" s="2434"/>
      <c r="R41" s="2434"/>
      <c r="S41" s="2434"/>
    </row>
    <row r="42" spans="1:19" s="8" customFormat="1" ht="3" customHeight="1">
      <c r="M42" s="28"/>
      <c r="N42" s="28"/>
      <c r="O42" s="2434"/>
      <c r="P42" s="2434"/>
      <c r="Q42" s="2434"/>
      <c r="R42" s="2434"/>
      <c r="S42" s="2434"/>
    </row>
    <row r="43" spans="1:19" s="8" customFormat="1" ht="12" customHeight="1">
      <c r="A43" s="14"/>
      <c r="B43" s="14" t="s">
        <v>1860</v>
      </c>
      <c r="M43" s="28"/>
      <c r="N43" s="28"/>
      <c r="O43" s="2434"/>
      <c r="P43" s="2434"/>
      <c r="Q43" s="2434"/>
      <c r="R43" s="2434"/>
      <c r="S43" s="2434"/>
    </row>
    <row r="44" spans="1:19" s="8" customFormat="1" ht="24.75" customHeight="1">
      <c r="B44" s="2995"/>
      <c r="C44" s="2996"/>
      <c r="D44" s="2996"/>
      <c r="E44" s="2996"/>
      <c r="F44" s="2996"/>
      <c r="G44" s="2996"/>
      <c r="H44" s="2996"/>
      <c r="I44" s="2996"/>
      <c r="J44" s="2996"/>
      <c r="K44" s="2996"/>
      <c r="L44" s="2996"/>
      <c r="M44" s="2997"/>
      <c r="N44" s="28"/>
      <c r="O44" s="2434"/>
      <c r="P44" s="2434"/>
      <c r="Q44" s="2434"/>
      <c r="R44" s="2434"/>
      <c r="S44" s="2434"/>
    </row>
  </sheetData>
  <sheetProtection algorithmName="SHA-512" hashValue="rSLn8FFzDnIMqwtc9/V3i7jRbCMjUqiqi566qFlMwACVKuYWPL1Kr8SZEw4gEx6BeuHYzkVRVMFXn4GbPXgbtQ==" saltValue="PQHusrlHMnh2AMUzojMxv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2018-05-23T16:55:25Z</cp:lastPrinted>
  <dcterms:created xsi:type="dcterms:W3CDTF">2005-09-15T20:51:37Z</dcterms:created>
  <dcterms:modified xsi:type="dcterms:W3CDTF">2018-08-29T16:25:15Z</dcterms:modified>
</cp:coreProperties>
</file>