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60A46A86-BA39-474D-B516-7138DFF7A984}" xr6:coauthVersionLast="31" xr6:coauthVersionMax="31" xr10:uidLastSave="{00000000-0000-0000-0000-000000000000}"/>
  <bookViews>
    <workbookView xWindow="0" yWindow="0" windowWidth="23970" windowHeight="664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60" i="78" l="1"/>
  <c r="G29" i="78" l="1"/>
  <c r="F58" i="74" l="1"/>
  <c r="E58" i="74"/>
  <c r="D58" i="74"/>
  <c r="C58" i="74"/>
  <c r="B58" i="74"/>
  <c r="K28" i="74"/>
  <c r="J28" i="74"/>
  <c r="I28" i="74"/>
  <c r="H28" i="74"/>
  <c r="G28" i="74"/>
  <c r="F28" i="74"/>
  <c r="E28" i="74"/>
  <c r="D28" i="74"/>
  <c r="C28" i="74"/>
  <c r="B28" i="74"/>
  <c r="G5" i="74" l="1"/>
  <c r="P25" i="78" l="1"/>
  <c r="P29" i="78" l="1"/>
  <c r="F167" i="75" l="1"/>
  <c r="P286" i="72" l="1"/>
  <c r="O286" i="72"/>
  <c r="B40" i="74" l="1"/>
  <c r="C40" i="74"/>
  <c r="D40" i="74"/>
  <c r="E40" i="74"/>
  <c r="F40" i="74"/>
  <c r="G40" i="74"/>
  <c r="H40" i="74"/>
  <c r="H996" i="93" s="1"/>
  <c r="I40" i="74"/>
  <c r="J40" i="74"/>
  <c r="K40" i="74"/>
  <c r="J38" i="78"/>
  <c r="J33" i="78"/>
  <c r="S27" i="78"/>
  <c r="O115" i="72"/>
  <c r="O111" i="72" s="1"/>
  <c r="K230" i="72" s="1"/>
  <c r="K1784" i="93"/>
  <c r="G1472" i="93"/>
  <c r="F378" i="73"/>
  <c r="F1472" i="93"/>
  <c r="J1472" i="93" s="1"/>
  <c r="G1470" i="93"/>
  <c r="J39" i="66"/>
  <c r="I40" i="66" s="1"/>
  <c r="K40" i="66" s="1"/>
  <c r="C767" i="93"/>
  <c r="N767" i="93"/>
  <c r="P767" i="93"/>
  <c r="C768" i="93"/>
  <c r="N768" i="93"/>
  <c r="P768" i="93"/>
  <c r="C769" i="93"/>
  <c r="N769" i="93"/>
  <c r="FH769" i="93" s="1"/>
  <c r="P769" i="93"/>
  <c r="C770" i="93"/>
  <c r="N770" i="93"/>
  <c r="GP770" i="93" s="1"/>
  <c r="P770" i="93"/>
  <c r="C771" i="93"/>
  <c r="N771" i="93"/>
  <c r="P771" i="93"/>
  <c r="C772" i="93"/>
  <c r="HH772" i="93" s="1"/>
  <c r="N772" i="93"/>
  <c r="P772" i="93"/>
  <c r="C773" i="93"/>
  <c r="HM773" i="93" s="1"/>
  <c r="N773" i="93"/>
  <c r="P773" i="93"/>
  <c r="C774" i="93"/>
  <c r="N774" i="93"/>
  <c r="P774" i="93"/>
  <c r="C775" i="93"/>
  <c r="N775" i="93"/>
  <c r="P775" i="93"/>
  <c r="HM775" i="93" s="1"/>
  <c r="GA769" i="93"/>
  <c r="GV769" i="93"/>
  <c r="GB769" i="93"/>
  <c r="GC769" i="93"/>
  <c r="GX769" i="93"/>
  <c r="HR772" i="93"/>
  <c r="FJ769" i="93"/>
  <c r="GN771" i="93"/>
  <c r="FT769" i="93"/>
  <c r="HI769" i="93"/>
  <c r="FK769" i="93"/>
  <c r="FK771" i="93"/>
  <c r="GE769" i="93"/>
  <c r="R47" i="75"/>
  <c r="R804" i="93" s="1"/>
  <c r="R46" i="75"/>
  <c r="R803" i="93" s="1"/>
  <c r="R45" i="75"/>
  <c r="R802" i="93" s="1"/>
  <c r="R44" i="75"/>
  <c r="R801" i="93" s="1"/>
  <c r="R43" i="75"/>
  <c r="R800" i="93" s="1"/>
  <c r="R42" i="75"/>
  <c r="R799" i="93" s="1"/>
  <c r="R41" i="75"/>
  <c r="R798" i="93"/>
  <c r="R40" i="75"/>
  <c r="R797" i="93" s="1"/>
  <c r="R39" i="75"/>
  <c r="R796" i="93" s="1"/>
  <c r="R38" i="75"/>
  <c r="R795" i="93" s="1"/>
  <c r="R37" i="75"/>
  <c r="R794" i="93"/>
  <c r="R36" i="75"/>
  <c r="R793" i="93"/>
  <c r="R35" i="75"/>
  <c r="R792" i="93" s="1"/>
  <c r="R34" i="75"/>
  <c r="R791" i="93" s="1"/>
  <c r="R33" i="75"/>
  <c r="R790" i="93" s="1"/>
  <c r="R32" i="75"/>
  <c r="R789" i="93"/>
  <c r="R31" i="75"/>
  <c r="R788" i="93" s="1"/>
  <c r="R30" i="75"/>
  <c r="R787" i="93" s="1"/>
  <c r="R29" i="75"/>
  <c r="R786" i="93" s="1"/>
  <c r="R28" i="75"/>
  <c r="R785" i="93" s="1"/>
  <c r="R27" i="75"/>
  <c r="R784" i="93" s="1"/>
  <c r="R26" i="75"/>
  <c r="R783" i="93" s="1"/>
  <c r="R25" i="75"/>
  <c r="R782" i="93"/>
  <c r="R24" i="75"/>
  <c r="R781" i="93" s="1"/>
  <c r="R23" i="75"/>
  <c r="R780" i="93" s="1"/>
  <c r="R22" i="75"/>
  <c r="R779" i="93" s="1"/>
  <c r="R21" i="75"/>
  <c r="R778" i="93"/>
  <c r="R20" i="75"/>
  <c r="R777" i="93"/>
  <c r="R19" i="75"/>
  <c r="R776" i="93" s="1"/>
  <c r="Q18" i="75"/>
  <c r="Q775" i="93" s="1"/>
  <c r="Q17" i="75"/>
  <c r="Q774" i="93" s="1"/>
  <c r="Q16" i="75"/>
  <c r="Q773" i="93" s="1"/>
  <c r="R16" i="75"/>
  <c r="R773" i="93" s="1"/>
  <c r="Q15" i="75"/>
  <c r="Q14" i="75"/>
  <c r="Q771" i="93"/>
  <c r="Q13" i="75"/>
  <c r="Q12" i="75"/>
  <c r="Q769" i="93" s="1"/>
  <c r="Q11" i="75"/>
  <c r="Q768" i="93" s="1"/>
  <c r="Q10" i="75"/>
  <c r="Q767" i="93" s="1"/>
  <c r="S767" i="93"/>
  <c r="T767" i="93"/>
  <c r="B767" i="93"/>
  <c r="M767" i="93"/>
  <c r="E767" i="93"/>
  <c r="S768" i="93"/>
  <c r="T768" i="93"/>
  <c r="B768" i="93"/>
  <c r="Y768" i="93" s="1"/>
  <c r="M768" i="93"/>
  <c r="AF768" i="93" s="1"/>
  <c r="E768" i="93"/>
  <c r="AK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N37" i="68"/>
  <c r="H23" i="74" s="1"/>
  <c r="E14" i="87" s="1"/>
  <c r="K16" i="75"/>
  <c r="L16" i="75" s="1"/>
  <c r="K17" i="75"/>
  <c r="L17" i="75" s="1"/>
  <c r="K18" i="75"/>
  <c r="L18" i="75" s="1"/>
  <c r="I19" i="75"/>
  <c r="K19" i="75" s="1"/>
  <c r="L19" i="75" s="1"/>
  <c r="I20" i="75"/>
  <c r="K20" i="75" s="1"/>
  <c r="L20" i="75" s="1"/>
  <c r="I21" i="75"/>
  <c r="K21" i="75" s="1"/>
  <c r="L21" i="75" s="1"/>
  <c r="I22" i="75"/>
  <c r="K22" i="75" s="1"/>
  <c r="L22" i="75" s="1"/>
  <c r="I23" i="75"/>
  <c r="K23" i="75" s="1"/>
  <c r="L23" i="75" s="1"/>
  <c r="I24" i="75"/>
  <c r="K24" i="75" s="1"/>
  <c r="L24" i="75" s="1"/>
  <c r="I25" i="75"/>
  <c r="K25" i="75" s="1"/>
  <c r="L25" i="75" s="1"/>
  <c r="I26" i="75"/>
  <c r="K26" i="75" s="1"/>
  <c r="L26" i="75" s="1"/>
  <c r="I27" i="75"/>
  <c r="K27" i="75" s="1"/>
  <c r="L27" i="75" s="1"/>
  <c r="I28" i="75"/>
  <c r="K28" i="75" s="1"/>
  <c r="L28" i="75" s="1"/>
  <c r="I29" i="75"/>
  <c r="K29" i="75" s="1"/>
  <c r="L29" i="75" s="1"/>
  <c r="I30" i="75"/>
  <c r="K30" i="75" s="1"/>
  <c r="L30" i="75" s="1"/>
  <c r="I31" i="75"/>
  <c r="K31" i="75" s="1"/>
  <c r="L31" i="75" s="1"/>
  <c r="I32" i="75"/>
  <c r="K32" i="75" s="1"/>
  <c r="L32" i="75" s="1"/>
  <c r="I33" i="75"/>
  <c r="K33" i="75" s="1"/>
  <c r="L33" i="75" s="1"/>
  <c r="I34" i="75"/>
  <c r="K34" i="75" s="1"/>
  <c r="L34" i="75" s="1"/>
  <c r="I35" i="75"/>
  <c r="K35" i="75" s="1"/>
  <c r="L35" i="75" s="1"/>
  <c r="I36" i="75"/>
  <c r="K36" i="75" s="1"/>
  <c r="L36" i="75" s="1"/>
  <c r="I37" i="75"/>
  <c r="K37" i="75" s="1"/>
  <c r="L37" i="75" s="1"/>
  <c r="I38" i="75"/>
  <c r="K38" i="75" s="1"/>
  <c r="L38" i="75" s="1"/>
  <c r="I39" i="75"/>
  <c r="K39" i="75" s="1"/>
  <c r="L39" i="75" s="1"/>
  <c r="I40" i="75"/>
  <c r="K40" i="75" s="1"/>
  <c r="L40" i="75" s="1"/>
  <c r="I41" i="75"/>
  <c r="K41" i="75" s="1"/>
  <c r="L41" i="75" s="1"/>
  <c r="I42" i="75"/>
  <c r="K42" i="75" s="1"/>
  <c r="L42" i="75" s="1"/>
  <c r="I43" i="75"/>
  <c r="K43" i="75" s="1"/>
  <c r="L43" i="75" s="1"/>
  <c r="I44" i="75"/>
  <c r="K44" i="75" s="1"/>
  <c r="L44" i="75" s="1"/>
  <c r="I45" i="75"/>
  <c r="K45" i="75" s="1"/>
  <c r="L45" i="75" s="1"/>
  <c r="I46" i="75"/>
  <c r="K46" i="75" s="1"/>
  <c r="L46" i="75" s="1"/>
  <c r="I47" i="75"/>
  <c r="K47" i="75" s="1"/>
  <c r="L47" i="75" s="1"/>
  <c r="F168" i="75"/>
  <c r="F177" i="75"/>
  <c r="F188" i="75"/>
  <c r="C59" i="84" s="1"/>
  <c r="I59" i="84" s="1"/>
  <c r="K166" i="75"/>
  <c r="K175" i="75"/>
  <c r="K185" i="75"/>
  <c r="C60" i="84" s="1"/>
  <c r="P167" i="75"/>
  <c r="C61" i="84" s="1"/>
  <c r="JC10" i="75"/>
  <c r="JC11" i="75"/>
  <c r="JC12" i="75"/>
  <c r="JC13" i="75"/>
  <c r="JC14" i="75"/>
  <c r="JC15" i="75"/>
  <c r="JC16" i="75"/>
  <c r="JC17" i="75"/>
  <c r="JC18" i="75"/>
  <c r="JD10" i="75"/>
  <c r="JD11" i="75"/>
  <c r="JD12" i="75"/>
  <c r="JD13" i="75"/>
  <c r="JD14" i="75"/>
  <c r="JD15" i="75"/>
  <c r="JD16" i="75"/>
  <c r="JD17" i="75"/>
  <c r="JD18" i="75"/>
  <c r="JE10" i="75"/>
  <c r="JE11" i="75"/>
  <c r="JE12" i="75"/>
  <c r="JE13" i="75"/>
  <c r="JE14" i="75"/>
  <c r="JE15" i="75"/>
  <c r="JE16" i="75"/>
  <c r="JE17" i="75"/>
  <c r="JE18" i="75"/>
  <c r="JF10" i="75"/>
  <c r="JF11" i="75"/>
  <c r="JF12" i="75"/>
  <c r="JF13" i="75"/>
  <c r="JF14" i="75"/>
  <c r="JF15" i="75"/>
  <c r="JF16" i="75"/>
  <c r="JF17" i="75"/>
  <c r="JF18" i="75"/>
  <c r="JG10" i="75"/>
  <c r="JG11" i="75"/>
  <c r="JG12" i="75"/>
  <c r="JG13" i="75"/>
  <c r="JG14" i="75"/>
  <c r="JG15" i="75"/>
  <c r="JG16" i="75"/>
  <c r="JG17" i="75"/>
  <c r="JG18" i="75"/>
  <c r="JH10" i="75"/>
  <c r="JH11" i="75"/>
  <c r="JH12" i="75"/>
  <c r="JH13" i="75"/>
  <c r="JH14" i="75"/>
  <c r="JH15" i="75"/>
  <c r="JH16" i="75"/>
  <c r="JH17" i="75"/>
  <c r="JH18" i="75"/>
  <c r="JI10" i="75"/>
  <c r="JI11" i="75"/>
  <c r="JI12" i="75"/>
  <c r="JI13" i="75"/>
  <c r="JI14" i="75"/>
  <c r="JI15" i="75"/>
  <c r="JI16" i="75"/>
  <c r="JI17" i="75"/>
  <c r="JI18" i="75"/>
  <c r="JJ10" i="75"/>
  <c r="JJ11" i="75"/>
  <c r="JJ12" i="75"/>
  <c r="JJ13" i="75"/>
  <c r="JJ14" i="75"/>
  <c r="JJ15" i="75"/>
  <c r="JJ16" i="75"/>
  <c r="JJ17" i="75"/>
  <c r="JJ18" i="75"/>
  <c r="JK10" i="75"/>
  <c r="JK11" i="75"/>
  <c r="JK12" i="75"/>
  <c r="JK13" i="75"/>
  <c r="JK14" i="75"/>
  <c r="JK15" i="75"/>
  <c r="JK16" i="75"/>
  <c r="JK17" i="75"/>
  <c r="JK18" i="75"/>
  <c r="JL10" i="75"/>
  <c r="JL11" i="75"/>
  <c r="JL12" i="75"/>
  <c r="JL13" i="75"/>
  <c r="JL14" i="75"/>
  <c r="JL15" i="75"/>
  <c r="JL16" i="75"/>
  <c r="JL17" i="75"/>
  <c r="JL18" i="75"/>
  <c r="JM10" i="75"/>
  <c r="JM11" i="75"/>
  <c r="JM12" i="75"/>
  <c r="JM13" i="75"/>
  <c r="JM14" i="75"/>
  <c r="JM15" i="75"/>
  <c r="JM16" i="75"/>
  <c r="JM17" i="75"/>
  <c r="JM18" i="75"/>
  <c r="JN10" i="75"/>
  <c r="JN11" i="75"/>
  <c r="JN12" i="75"/>
  <c r="JN13" i="75"/>
  <c r="JN14" i="75"/>
  <c r="JN15" i="75"/>
  <c r="JN16" i="75"/>
  <c r="JN17" i="75"/>
  <c r="JN18" i="75"/>
  <c r="JO10" i="75"/>
  <c r="JO11" i="75"/>
  <c r="JO12" i="75"/>
  <c r="JO13" i="75"/>
  <c r="JO14" i="75"/>
  <c r="JO15" i="75"/>
  <c r="JO16" i="75"/>
  <c r="JO17" i="75"/>
  <c r="JO18" i="75"/>
  <c r="JP10" i="75"/>
  <c r="JP11" i="75"/>
  <c r="JP12" i="75"/>
  <c r="JP13" i="75"/>
  <c r="JP14" i="75"/>
  <c r="JP15" i="75"/>
  <c r="JP16" i="75"/>
  <c r="JP17" i="75"/>
  <c r="JP18" i="75"/>
  <c r="JQ10" i="75"/>
  <c r="JQ11" i="75"/>
  <c r="JQ12" i="75"/>
  <c r="JQ13" i="75"/>
  <c r="JQ14" i="75"/>
  <c r="JQ15" i="75"/>
  <c r="JQ16" i="75"/>
  <c r="JQ17" i="75"/>
  <c r="JQ18" i="75"/>
  <c r="GU10" i="75"/>
  <c r="GU11" i="75"/>
  <c r="GU12" i="75"/>
  <c r="GU13" i="75"/>
  <c r="GU14" i="75"/>
  <c r="GU15" i="75"/>
  <c r="GU16" i="75"/>
  <c r="GU17" i="75"/>
  <c r="GU18" i="75"/>
  <c r="HE10" i="75"/>
  <c r="HE11" i="75"/>
  <c r="HE12" i="75"/>
  <c r="HE13" i="75"/>
  <c r="HE14" i="75"/>
  <c r="HE15" i="75"/>
  <c r="HE16" i="75"/>
  <c r="HE17" i="75"/>
  <c r="HE18" i="75"/>
  <c r="HO10" i="75"/>
  <c r="HO11" i="75"/>
  <c r="HO12" i="75"/>
  <c r="HO13" i="75"/>
  <c r="HO14" i="75"/>
  <c r="HO15" i="75"/>
  <c r="HO16" i="75"/>
  <c r="HO17" i="75"/>
  <c r="HO18" i="75"/>
  <c r="HY10" i="75"/>
  <c r="HY11" i="75"/>
  <c r="HY12" i="75"/>
  <c r="HY13" i="75"/>
  <c r="HY14" i="75"/>
  <c r="HY15" i="75"/>
  <c r="HY16" i="75"/>
  <c r="HY17" i="75"/>
  <c r="HY18" i="75"/>
  <c r="FG10" i="75"/>
  <c r="FG11" i="75"/>
  <c r="FG12" i="75"/>
  <c r="FG13" i="75"/>
  <c r="FG14" i="75"/>
  <c r="FG15" i="75"/>
  <c r="FG16" i="75"/>
  <c r="FG17" i="75"/>
  <c r="FG18" i="75"/>
  <c r="GK10" i="75"/>
  <c r="GK11" i="75"/>
  <c r="GK12" i="75"/>
  <c r="GK13" i="75"/>
  <c r="GK14" i="75"/>
  <c r="GK15" i="75"/>
  <c r="GK16" i="75"/>
  <c r="GK17" i="75"/>
  <c r="GK18" i="75"/>
  <c r="GA10" i="75"/>
  <c r="GA11" i="75"/>
  <c r="GA12" i="75"/>
  <c r="GA13" i="75"/>
  <c r="GA14" i="75"/>
  <c r="GA15" i="75"/>
  <c r="GA16" i="75"/>
  <c r="GA17" i="75"/>
  <c r="GA18" i="75"/>
  <c r="FQ10" i="75"/>
  <c r="FQ11" i="75"/>
  <c r="FQ12" i="75"/>
  <c r="FQ13" i="75"/>
  <c r="FQ14" i="75"/>
  <c r="FQ15" i="75"/>
  <c r="FQ16" i="75"/>
  <c r="FQ17" i="75"/>
  <c r="FQ18" i="75"/>
  <c r="GV10" i="75"/>
  <c r="GV11" i="75"/>
  <c r="GV12" i="75"/>
  <c r="GV13" i="75"/>
  <c r="GV14" i="75"/>
  <c r="GV15" i="75"/>
  <c r="GV16" i="75"/>
  <c r="GV17" i="75"/>
  <c r="GV18" i="75"/>
  <c r="HF10" i="75"/>
  <c r="HF11" i="75"/>
  <c r="HF12" i="75"/>
  <c r="HF13" i="75"/>
  <c r="HF14" i="75"/>
  <c r="HF15" i="75"/>
  <c r="HF16" i="75"/>
  <c r="HF17" i="75"/>
  <c r="HF18" i="75"/>
  <c r="HP10" i="75"/>
  <c r="HP11" i="75"/>
  <c r="HP12" i="75"/>
  <c r="HP13" i="75"/>
  <c r="HP14" i="75"/>
  <c r="HP15" i="75"/>
  <c r="HP16" i="75"/>
  <c r="HP17" i="75"/>
  <c r="HP18" i="75"/>
  <c r="HZ10" i="75"/>
  <c r="HZ11" i="75"/>
  <c r="HZ12" i="75"/>
  <c r="HZ13" i="75"/>
  <c r="HZ14" i="75"/>
  <c r="HZ15" i="75"/>
  <c r="HZ16" i="75"/>
  <c r="HZ17" i="75"/>
  <c r="HZ18" i="75"/>
  <c r="FH10" i="75"/>
  <c r="FH11" i="75"/>
  <c r="FH12" i="75"/>
  <c r="FH13" i="75"/>
  <c r="FH14" i="75"/>
  <c r="FH15" i="75"/>
  <c r="FH16" i="75"/>
  <c r="FH17" i="75"/>
  <c r="FH18" i="75"/>
  <c r="GL10" i="75"/>
  <c r="GL11" i="75"/>
  <c r="GL12" i="75"/>
  <c r="GL13" i="75"/>
  <c r="GL14" i="75"/>
  <c r="GL15" i="75"/>
  <c r="GL16" i="75"/>
  <c r="GL17" i="75"/>
  <c r="GL18" i="75"/>
  <c r="GB10" i="75"/>
  <c r="GB11" i="75"/>
  <c r="GB12" i="75"/>
  <c r="GB13" i="75"/>
  <c r="GB14" i="75"/>
  <c r="GB15" i="75"/>
  <c r="GB16" i="75"/>
  <c r="GB17" i="75"/>
  <c r="GB18" i="75"/>
  <c r="FR10" i="75"/>
  <c r="FR11" i="75"/>
  <c r="FR12" i="75"/>
  <c r="FR13" i="75"/>
  <c r="FR14" i="75"/>
  <c r="FR15" i="75"/>
  <c r="FR16" i="75"/>
  <c r="FR17" i="75"/>
  <c r="FR18" i="75"/>
  <c r="GW10" i="75"/>
  <c r="GW11" i="75"/>
  <c r="GW12" i="75"/>
  <c r="GW13" i="75"/>
  <c r="GW14" i="75"/>
  <c r="GW15" i="75"/>
  <c r="GW16" i="75"/>
  <c r="GW17" i="75"/>
  <c r="GW18" i="75"/>
  <c r="HG10" i="75"/>
  <c r="HG11" i="75"/>
  <c r="HG12" i="75"/>
  <c r="HG13" i="75"/>
  <c r="HG14" i="75"/>
  <c r="HG15" i="75"/>
  <c r="HG16" i="75"/>
  <c r="HG17" i="75"/>
  <c r="HG18" i="75"/>
  <c r="HQ10" i="75"/>
  <c r="HQ11" i="75"/>
  <c r="HQ12" i="75"/>
  <c r="HQ13" i="75"/>
  <c r="HQ14" i="75"/>
  <c r="HQ15" i="75"/>
  <c r="HQ16" i="75"/>
  <c r="HQ17" i="75"/>
  <c r="HQ18" i="75"/>
  <c r="IA10" i="75"/>
  <c r="IA11" i="75"/>
  <c r="IA12" i="75"/>
  <c r="IA13" i="75"/>
  <c r="IA14" i="75"/>
  <c r="IA15" i="75"/>
  <c r="IA16" i="75"/>
  <c r="IA17" i="75"/>
  <c r="IA18" i="75"/>
  <c r="FI10" i="75"/>
  <c r="FI11" i="75"/>
  <c r="FI12" i="75"/>
  <c r="FI13" i="75"/>
  <c r="FI14" i="75"/>
  <c r="FI15" i="75"/>
  <c r="FI16" i="75"/>
  <c r="FI17" i="75"/>
  <c r="FI18" i="75"/>
  <c r="GM10" i="75"/>
  <c r="GM11" i="75"/>
  <c r="GM12" i="75"/>
  <c r="GM13" i="75"/>
  <c r="GM14" i="75"/>
  <c r="GM15" i="75"/>
  <c r="GM16" i="75"/>
  <c r="GM17" i="75"/>
  <c r="GM18" i="75"/>
  <c r="GC10" i="75"/>
  <c r="GC11" i="75"/>
  <c r="GC12" i="75"/>
  <c r="GC13" i="75"/>
  <c r="GC14" i="75"/>
  <c r="GC15" i="75"/>
  <c r="GC16" i="75"/>
  <c r="GC17" i="75"/>
  <c r="GC18" i="75"/>
  <c r="FS10" i="75"/>
  <c r="FS11" i="75"/>
  <c r="FS12" i="75"/>
  <c r="FS13" i="75"/>
  <c r="FS14" i="75"/>
  <c r="FS15" i="75"/>
  <c r="FS16" i="75"/>
  <c r="FS17" i="75"/>
  <c r="FS18" i="75"/>
  <c r="GX10" i="75"/>
  <c r="GX11" i="75"/>
  <c r="GX12" i="75"/>
  <c r="GX13" i="75"/>
  <c r="GX14" i="75"/>
  <c r="GX15" i="75"/>
  <c r="GX16" i="75"/>
  <c r="GX17" i="75"/>
  <c r="GX18" i="75"/>
  <c r="HH10" i="75"/>
  <c r="HH11" i="75"/>
  <c r="HH12" i="75"/>
  <c r="HH13" i="75"/>
  <c r="HH14" i="75"/>
  <c r="HH15" i="75"/>
  <c r="HH16" i="75"/>
  <c r="HH17" i="75"/>
  <c r="HH18" i="75"/>
  <c r="HR10" i="75"/>
  <c r="HR11" i="75"/>
  <c r="HR12" i="75"/>
  <c r="HR13" i="75"/>
  <c r="HR14" i="75"/>
  <c r="HR15" i="75"/>
  <c r="HR16" i="75"/>
  <c r="HR17" i="75"/>
  <c r="HR18" i="75"/>
  <c r="IB10" i="75"/>
  <c r="IB11" i="75"/>
  <c r="IB12" i="75"/>
  <c r="IB13" i="75"/>
  <c r="IB14" i="75"/>
  <c r="IB15" i="75"/>
  <c r="IB16" i="75"/>
  <c r="IB17" i="75"/>
  <c r="IB18" i="75"/>
  <c r="FJ10" i="75"/>
  <c r="FJ11" i="75"/>
  <c r="FJ12" i="75"/>
  <c r="FJ13" i="75"/>
  <c r="FJ14" i="75"/>
  <c r="FJ15" i="75"/>
  <c r="FJ16" i="75"/>
  <c r="FJ17" i="75"/>
  <c r="FJ18" i="75"/>
  <c r="GN10" i="75"/>
  <c r="GN11" i="75"/>
  <c r="GN12" i="75"/>
  <c r="GN13" i="75"/>
  <c r="GN14" i="75"/>
  <c r="GN15" i="75"/>
  <c r="GN16" i="75"/>
  <c r="GN17" i="75"/>
  <c r="GN18" i="75"/>
  <c r="GD10" i="75"/>
  <c r="GD11" i="75"/>
  <c r="GD12" i="75"/>
  <c r="GD13" i="75"/>
  <c r="GD14" i="75"/>
  <c r="GD15" i="75"/>
  <c r="GD16" i="75"/>
  <c r="GD17" i="75"/>
  <c r="GD18" i="75"/>
  <c r="FT10" i="75"/>
  <c r="FT11" i="75"/>
  <c r="FT12" i="75"/>
  <c r="FT13" i="75"/>
  <c r="FT14" i="75"/>
  <c r="FT15" i="75"/>
  <c r="FT16" i="75"/>
  <c r="FT17" i="75"/>
  <c r="FT18" i="75"/>
  <c r="GY10" i="75"/>
  <c r="GY11" i="75"/>
  <c r="GY12" i="75"/>
  <c r="GY13" i="75"/>
  <c r="GY14" i="75"/>
  <c r="GY15" i="75"/>
  <c r="GY16" i="75"/>
  <c r="GY17" i="75"/>
  <c r="GY18" i="75"/>
  <c r="HI10" i="75"/>
  <c r="HI11" i="75"/>
  <c r="HI12" i="75"/>
  <c r="HI13" i="75"/>
  <c r="HI14" i="75"/>
  <c r="HI15" i="75"/>
  <c r="HI16" i="75"/>
  <c r="HI17" i="75"/>
  <c r="HI18" i="75"/>
  <c r="HS10" i="75"/>
  <c r="HS11" i="75"/>
  <c r="HS12" i="75"/>
  <c r="HS13" i="75"/>
  <c r="HS14" i="75"/>
  <c r="HS15" i="75"/>
  <c r="HS16" i="75"/>
  <c r="HS17" i="75"/>
  <c r="HS18" i="75"/>
  <c r="IC10" i="75"/>
  <c r="IC11" i="75"/>
  <c r="IC12" i="75"/>
  <c r="IC13" i="75"/>
  <c r="IC14" i="75"/>
  <c r="IC15" i="75"/>
  <c r="IC16" i="75"/>
  <c r="IC17" i="75"/>
  <c r="IC18" i="75"/>
  <c r="FK10" i="75"/>
  <c r="FK11" i="75"/>
  <c r="FK12" i="75"/>
  <c r="FK13" i="75"/>
  <c r="FK14" i="75"/>
  <c r="FK15" i="75"/>
  <c r="FK16" i="75"/>
  <c r="FK17" i="75"/>
  <c r="FK18" i="75"/>
  <c r="GO10" i="75"/>
  <c r="GO11" i="75"/>
  <c r="GO12" i="75"/>
  <c r="GO13" i="75"/>
  <c r="GO14" i="75"/>
  <c r="GO15" i="75"/>
  <c r="GO16" i="75"/>
  <c r="GO17" i="75"/>
  <c r="GO18" i="75"/>
  <c r="GE10" i="75"/>
  <c r="GE11" i="75"/>
  <c r="GE12" i="75"/>
  <c r="GE13" i="75"/>
  <c r="GE14" i="75"/>
  <c r="GE15" i="75"/>
  <c r="GE16" i="75"/>
  <c r="GE17" i="75"/>
  <c r="GE18" i="75"/>
  <c r="FU10" i="75"/>
  <c r="FU11" i="75"/>
  <c r="FU12" i="75"/>
  <c r="FU13" i="75"/>
  <c r="FU14" i="75"/>
  <c r="FU15" i="75"/>
  <c r="FU16" i="75"/>
  <c r="FU17" i="75"/>
  <c r="FU18" i="75"/>
  <c r="B21" i="74"/>
  <c r="R33" i="74"/>
  <c r="R28"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AB10" i="75"/>
  <c r="AB11" i="75"/>
  <c r="AB12" i="75"/>
  <c r="AB13" i="75"/>
  <c r="AB14" i="75"/>
  <c r="AB15" i="75"/>
  <c r="AB16" i="75"/>
  <c r="AB17" i="75"/>
  <c r="AB18" i="75"/>
  <c r="AL10" i="75"/>
  <c r="AL11" i="75"/>
  <c r="AL12" i="75"/>
  <c r="AL13" i="75"/>
  <c r="AL14" i="75"/>
  <c r="AL15" i="75"/>
  <c r="AL16" i="75"/>
  <c r="AL17" i="75"/>
  <c r="AL18" i="75"/>
  <c r="BU10" i="75"/>
  <c r="BU11" i="75"/>
  <c r="BU12" i="75"/>
  <c r="BU13" i="75"/>
  <c r="BU14" i="75"/>
  <c r="BU15" i="75"/>
  <c r="BU16" i="75"/>
  <c r="BU17" i="75"/>
  <c r="BU18" i="75"/>
  <c r="X10" i="75"/>
  <c r="X11" i="75"/>
  <c r="X12" i="75"/>
  <c r="X13" i="75"/>
  <c r="X14" i="75"/>
  <c r="X15" i="75"/>
  <c r="X16" i="75"/>
  <c r="X17" i="75"/>
  <c r="X18" i="75"/>
  <c r="AC10" i="75"/>
  <c r="AC11" i="75"/>
  <c r="AC12" i="75"/>
  <c r="AC13" i="75"/>
  <c r="AC14" i="75"/>
  <c r="AC15" i="75"/>
  <c r="AC16" i="75"/>
  <c r="AC17" i="75"/>
  <c r="AC18" i="75"/>
  <c r="AM10" i="75"/>
  <c r="AM11" i="75"/>
  <c r="AM12" i="75"/>
  <c r="AM13" i="75"/>
  <c r="AM14" i="75"/>
  <c r="AM15" i="75"/>
  <c r="AM16" i="75"/>
  <c r="AM17" i="75"/>
  <c r="AM18" i="75"/>
  <c r="BV10" i="75"/>
  <c r="BV11" i="75"/>
  <c r="BV12" i="75"/>
  <c r="BV13" i="75"/>
  <c r="BV14" i="75"/>
  <c r="BV15" i="75"/>
  <c r="BV16" i="75"/>
  <c r="BV17" i="75"/>
  <c r="BV18" i="75"/>
  <c r="Y10" i="75"/>
  <c r="Y11" i="75"/>
  <c r="Y12" i="75"/>
  <c r="Y13" i="75"/>
  <c r="Y14" i="75"/>
  <c r="Y15" i="75"/>
  <c r="Y16" i="75"/>
  <c r="Y17" i="75"/>
  <c r="Y18" i="75"/>
  <c r="AD10" i="75"/>
  <c r="AD11" i="75"/>
  <c r="AD12" i="75"/>
  <c r="AD13" i="75"/>
  <c r="AD14" i="75"/>
  <c r="AD15" i="75"/>
  <c r="AD16" i="75"/>
  <c r="AD17" i="75"/>
  <c r="AD18" i="75"/>
  <c r="AN10" i="75"/>
  <c r="AN11" i="75"/>
  <c r="AN12" i="75"/>
  <c r="AN13" i="75"/>
  <c r="AN14" i="75"/>
  <c r="AN15" i="75"/>
  <c r="AN16" i="75"/>
  <c r="AN17" i="75"/>
  <c r="AN18" i="75"/>
  <c r="BW10" i="75"/>
  <c r="BW11" i="75"/>
  <c r="BW12" i="75"/>
  <c r="BW13" i="75"/>
  <c r="BW14" i="75"/>
  <c r="BW15" i="75"/>
  <c r="BW16" i="75"/>
  <c r="BW17" i="75"/>
  <c r="BW18" i="75"/>
  <c r="Z10" i="75"/>
  <c r="Z11" i="75"/>
  <c r="Z12" i="75"/>
  <c r="Z13" i="75"/>
  <c r="Z14" i="75"/>
  <c r="Z15" i="75"/>
  <c r="Z16" i="75"/>
  <c r="Z17" i="75"/>
  <c r="Z18" i="75"/>
  <c r="AE10" i="75"/>
  <c r="AE11" i="75"/>
  <c r="AE12" i="75"/>
  <c r="AE13" i="75"/>
  <c r="AE14" i="75"/>
  <c r="AE15" i="75"/>
  <c r="AE16" i="75"/>
  <c r="AE17" i="75"/>
  <c r="AE18" i="75"/>
  <c r="AO10" i="75"/>
  <c r="AO11" i="75"/>
  <c r="AO12" i="75"/>
  <c r="AO13" i="75"/>
  <c r="AO14" i="75"/>
  <c r="AO15" i="75"/>
  <c r="AO16" i="75"/>
  <c r="AO17" i="75"/>
  <c r="AO18" i="75"/>
  <c r="BX10" i="75"/>
  <c r="BX11" i="75"/>
  <c r="BX12" i="75"/>
  <c r="BX13" i="75"/>
  <c r="BX14" i="75"/>
  <c r="BX15" i="75"/>
  <c r="BX16" i="75"/>
  <c r="BX17" i="75"/>
  <c r="BX18" i="75"/>
  <c r="AA10" i="75"/>
  <c r="AA11" i="75"/>
  <c r="AA12" i="75"/>
  <c r="AA13" i="75"/>
  <c r="AA14" i="75"/>
  <c r="AA15" i="75"/>
  <c r="AA16" i="75"/>
  <c r="AA17" i="75"/>
  <c r="AA18" i="75"/>
  <c r="AF10" i="75"/>
  <c r="AF11" i="75"/>
  <c r="AF12" i="75"/>
  <c r="AF13" i="75"/>
  <c r="AF14" i="75"/>
  <c r="AF15" i="75"/>
  <c r="AF16" i="75"/>
  <c r="AF17" i="75"/>
  <c r="AF18" i="75"/>
  <c r="AP10" i="75"/>
  <c r="AP11" i="75"/>
  <c r="AP12" i="75"/>
  <c r="AP13" i="75"/>
  <c r="AP14" i="75"/>
  <c r="AP15" i="75"/>
  <c r="AP16" i="75"/>
  <c r="AP17" i="75"/>
  <c r="AP18" i="75"/>
  <c r="BY10" i="75"/>
  <c r="BY11" i="75"/>
  <c r="BY12" i="75"/>
  <c r="BY13" i="75"/>
  <c r="BY14" i="75"/>
  <c r="BY15" i="75"/>
  <c r="BY16" i="75"/>
  <c r="BY17" i="75"/>
  <c r="BY18" i="75"/>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Q1972" i="93"/>
  <c r="S1918" i="93"/>
  <c r="Q1863" i="93"/>
  <c r="U1842" i="93"/>
  <c r="U1841" i="93"/>
  <c r="T1729" i="93"/>
  <c r="O40" i="66"/>
  <c r="T1728" i="93" s="1"/>
  <c r="T1727" i="93"/>
  <c r="T1726" i="93"/>
  <c r="O1691" i="93"/>
  <c r="Q1691" i="93" s="1"/>
  <c r="O1673" i="93"/>
  <c r="Q1673" i="93"/>
  <c r="O1658" i="93"/>
  <c r="Q1658" i="93" s="1"/>
  <c r="O1636" i="93"/>
  <c r="Q1636" i="93" s="1"/>
  <c r="O1614" i="93"/>
  <c r="Q1614" i="93" s="1"/>
  <c r="A2013" i="93"/>
  <c r="A2011"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s="1"/>
  <c r="P1952" i="93"/>
  <c r="O1952" i="93"/>
  <c r="P1921" i="93"/>
  <c r="O1921" i="93"/>
  <c r="P1944" i="93"/>
  <c r="O1944" i="93"/>
  <c r="P1923" i="93"/>
  <c r="O1923" i="93"/>
  <c r="Q1923" i="93" s="1"/>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K1732" i="93" s="1"/>
  <c r="I1731" i="93"/>
  <c r="D1718" i="93"/>
  <c r="E1718" i="93"/>
  <c r="F1718" i="93"/>
  <c r="D1719" i="93"/>
  <c r="E1719" i="93"/>
  <c r="F1719" i="93"/>
  <c r="L1723" i="93"/>
  <c r="M1723" i="93" s="1"/>
  <c r="P1723" i="93" s="1"/>
  <c r="K1723" i="93"/>
  <c r="L1722" i="93"/>
  <c r="K1722" i="93"/>
  <c r="L1721" i="93"/>
  <c r="K1721" i="93"/>
  <c r="J1723" i="93"/>
  <c r="I1723" i="93"/>
  <c r="J1722" i="93"/>
  <c r="M1722" i="93" s="1"/>
  <c r="P1722" i="93" s="1"/>
  <c r="I1722" i="93"/>
  <c r="J1721" i="93"/>
  <c r="I1721" i="93"/>
  <c r="L1719" i="93"/>
  <c r="K1719" i="93"/>
  <c r="L1718" i="93"/>
  <c r="K1718" i="93"/>
  <c r="L1717" i="93"/>
  <c r="M1717" i="93" s="1"/>
  <c r="O1717" i="93" s="1"/>
  <c r="K1717" i="93"/>
  <c r="J1719" i="93"/>
  <c r="I1719" i="93"/>
  <c r="J1718" i="93"/>
  <c r="I1718" i="93"/>
  <c r="J1717" i="93"/>
  <c r="I1717" i="93"/>
  <c r="H1719" i="93"/>
  <c r="H1723" i="93" s="1"/>
  <c r="G1719" i="93"/>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P1658" i="93"/>
  <c r="P1657" i="93"/>
  <c r="O1657" i="93"/>
  <c r="Q1657" i="93" s="1"/>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P1635" i="93"/>
  <c r="O1635" i="93"/>
  <c r="Q1635" i="93" s="1"/>
  <c r="P1631" i="93"/>
  <c r="O1631" i="93"/>
  <c r="P1630" i="93"/>
  <c r="O1630" i="93"/>
  <c r="P1629" i="93"/>
  <c r="O1629" i="93"/>
  <c r="P1625" i="93"/>
  <c r="O1625" i="93"/>
  <c r="P1624" i="93"/>
  <c r="O1624" i="93"/>
  <c r="P1623" i="93"/>
  <c r="O1623" i="93"/>
  <c r="P1615" i="93"/>
  <c r="O1615" i="93"/>
  <c r="P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L1970" i="93"/>
  <c r="L1941" i="93"/>
  <c r="G17" i="78"/>
  <c r="G23" i="78"/>
  <c r="G27" i="78"/>
  <c r="G33" i="78"/>
  <c r="G38" i="78"/>
  <c r="G64" i="78"/>
  <c r="G77" i="78"/>
  <c r="G83" i="78"/>
  <c r="G91" i="78"/>
  <c r="G105" i="78"/>
  <c r="G111" i="78"/>
  <c r="G118" i="78"/>
  <c r="G126" i="78"/>
  <c r="J1916" i="93"/>
  <c r="L1910" i="93"/>
  <c r="I1910" i="93"/>
  <c r="F1910" i="93"/>
  <c r="C1910" i="93"/>
  <c r="N1901" i="93"/>
  <c r="L1901" i="93"/>
  <c r="I1891" i="93"/>
  <c r="O1879" i="93"/>
  <c r="L1873" i="93"/>
  <c r="L1871" i="93"/>
  <c r="L1859" i="93"/>
  <c r="L1858" i="93"/>
  <c r="L1849" i="93"/>
  <c r="J1849" i="93"/>
  <c r="L1848" i="93"/>
  <c r="M1841" i="93"/>
  <c r="M1829" i="93"/>
  <c r="H1827" i="93"/>
  <c r="I1769" i="93"/>
  <c r="J1767" i="93"/>
  <c r="L1766" i="93"/>
  <c r="M1764" i="93"/>
  <c r="I1764" i="93"/>
  <c r="E1764" i="93"/>
  <c r="L1763" i="93"/>
  <c r="L1762" i="93"/>
  <c r="H1732" i="93"/>
  <c r="G1723" i="93"/>
  <c r="D1723" i="93"/>
  <c r="H1722" i="93"/>
  <c r="G1722" i="93"/>
  <c r="D1722" i="93"/>
  <c r="G1721" i="93"/>
  <c r="D1721" i="93"/>
  <c r="M1719" i="93"/>
  <c r="O1719" i="93" s="1"/>
  <c r="F1714" i="93"/>
  <c r="L1691" i="93"/>
  <c r="L1673" i="93"/>
  <c r="J1667" i="93"/>
  <c r="I1651"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P1136" i="93" s="1"/>
  <c r="J1163" i="93"/>
  <c r="I1163" i="93"/>
  <c r="Q1158" i="93"/>
  <c r="P1158" i="93"/>
  <c r="Q1157" i="93"/>
  <c r="Q1140" i="93"/>
  <c r="P1140" i="93"/>
  <c r="Q1139" i="93"/>
  <c r="Q1137" i="93"/>
  <c r="P1137" i="93"/>
  <c r="Q1136" i="93"/>
  <c r="Q1144" i="93"/>
  <c r="P1144" i="93"/>
  <c r="Q1143" i="93"/>
  <c r="P1143" i="93"/>
  <c r="L1167" i="93"/>
  <c r="K1167" i="93"/>
  <c r="J73" i="73"/>
  <c r="J1167" i="93" s="1"/>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HD10" i="75"/>
  <c r="HD11" i="75"/>
  <c r="HD12" i="75"/>
  <c r="HD13" i="75"/>
  <c r="HD14" i="75"/>
  <c r="HD15" i="75"/>
  <c r="HD16" i="75"/>
  <c r="HD17" i="75"/>
  <c r="HD18" i="75"/>
  <c r="HX10" i="75"/>
  <c r="HX11" i="75"/>
  <c r="HX12" i="75"/>
  <c r="HX13" i="75"/>
  <c r="HX14" i="75"/>
  <c r="HX15" i="75"/>
  <c r="HX16" i="75"/>
  <c r="HX17" i="75"/>
  <c r="HX18" i="75"/>
  <c r="L1159" i="93"/>
  <c r="HC10" i="75"/>
  <c r="HC11" i="75"/>
  <c r="HC12" i="75"/>
  <c r="HC13" i="75"/>
  <c r="HC14" i="75"/>
  <c r="HC15" i="75"/>
  <c r="HC16" i="75"/>
  <c r="HC17" i="75"/>
  <c r="HC18" i="75"/>
  <c r="HW10" i="75"/>
  <c r="HW11" i="75"/>
  <c r="HW12" i="75"/>
  <c r="HW13" i="75"/>
  <c r="HW14" i="75"/>
  <c r="HW15" i="75"/>
  <c r="HW16" i="75"/>
  <c r="HW17" i="75"/>
  <c r="HW18" i="75"/>
  <c r="L1158" i="93"/>
  <c r="HB10" i="75"/>
  <c r="HB11" i="75"/>
  <c r="HB12" i="75"/>
  <c r="HB13" i="75"/>
  <c r="HB14" i="75"/>
  <c r="HB15" i="75"/>
  <c r="HB16" i="75"/>
  <c r="HB17" i="75"/>
  <c r="HB18" i="75"/>
  <c r="HV10" i="75"/>
  <c r="HV11" i="75"/>
  <c r="HV12" i="75"/>
  <c r="HV13" i="75"/>
  <c r="HV14" i="75"/>
  <c r="HV15" i="75"/>
  <c r="HV16" i="75"/>
  <c r="HV17" i="75"/>
  <c r="HV18" i="75"/>
  <c r="L1157" i="93"/>
  <c r="HA10" i="75"/>
  <c r="HA11" i="75"/>
  <c r="HA12" i="75"/>
  <c r="HA13" i="75"/>
  <c r="HA14" i="75"/>
  <c r="HA15" i="75"/>
  <c r="HA16" i="75"/>
  <c r="HA17" i="75"/>
  <c r="HA18" i="75"/>
  <c r="HU10" i="75"/>
  <c r="HU11" i="75"/>
  <c r="HU12" i="75"/>
  <c r="HU13" i="75"/>
  <c r="HU14" i="75"/>
  <c r="HU15" i="75"/>
  <c r="HU16" i="75"/>
  <c r="HU17" i="75"/>
  <c r="HU18" i="75"/>
  <c r="L1156" i="93"/>
  <c r="GZ10" i="75"/>
  <c r="GZ11" i="75"/>
  <c r="GZ12" i="75"/>
  <c r="GZ13" i="75"/>
  <c r="GZ14" i="75"/>
  <c r="GZ15" i="75"/>
  <c r="GZ16" i="75"/>
  <c r="GZ17" i="75"/>
  <c r="GZ18" i="75"/>
  <c r="HT10" i="75"/>
  <c r="HT11" i="75"/>
  <c r="HT12" i="75"/>
  <c r="HT13" i="75"/>
  <c r="HT14" i="75"/>
  <c r="HT15" i="75"/>
  <c r="HT16" i="75"/>
  <c r="HT17" i="75"/>
  <c r="HT18" i="75"/>
  <c r="L1153" i="93"/>
  <c r="HN10" i="75"/>
  <c r="HN11" i="75"/>
  <c r="HN12" i="75"/>
  <c r="HN13" i="75"/>
  <c r="HN14" i="75"/>
  <c r="HN15" i="75"/>
  <c r="HN16" i="75"/>
  <c r="HN17" i="75"/>
  <c r="HN18" i="75"/>
  <c r="Q1152" i="93"/>
  <c r="P1152" i="93"/>
  <c r="L1152" i="93"/>
  <c r="HM10" i="75"/>
  <c r="HM11" i="75"/>
  <c r="HM12" i="75"/>
  <c r="HM13" i="75"/>
  <c r="HM14" i="75"/>
  <c r="HM15" i="75"/>
  <c r="HM16" i="75"/>
  <c r="HM17" i="75"/>
  <c r="HM18" i="75"/>
  <c r="L1151" i="93"/>
  <c r="HL10" i="75"/>
  <c r="HL11" i="75"/>
  <c r="HL12" i="75"/>
  <c r="HL13" i="75"/>
  <c r="HL14" i="75"/>
  <c r="HL15" i="75"/>
  <c r="HL16" i="75"/>
  <c r="HL17" i="75"/>
  <c r="HL18" i="75"/>
  <c r="L1150" i="93"/>
  <c r="HK10" i="75"/>
  <c r="HK11" i="75"/>
  <c r="HK12" i="75"/>
  <c r="HK13" i="75"/>
  <c r="HK14" i="75"/>
  <c r="HK15" i="75"/>
  <c r="HK16" i="75"/>
  <c r="HK17" i="75"/>
  <c r="HK18" i="75"/>
  <c r="Q1149" i="93"/>
  <c r="P1149" i="93"/>
  <c r="L1149" i="93"/>
  <c r="HJ10" i="75"/>
  <c r="HJ11" i="75"/>
  <c r="HJ12" i="75"/>
  <c r="HJ13" i="75"/>
  <c r="HJ14" i="75"/>
  <c r="HJ15" i="75"/>
  <c r="HJ16" i="75"/>
  <c r="HJ17" i="75"/>
  <c r="HJ18" i="75"/>
  <c r="L1146" i="93"/>
  <c r="GT10" i="75"/>
  <c r="GT11" i="75"/>
  <c r="GT12" i="75"/>
  <c r="GT13" i="75"/>
  <c r="GT14" i="75"/>
  <c r="GT15" i="75"/>
  <c r="GT16" i="75"/>
  <c r="GT17" i="75"/>
  <c r="GT18" i="75"/>
  <c r="GJ10" i="75"/>
  <c r="GJ11" i="75"/>
  <c r="GJ12" i="75"/>
  <c r="GJ13" i="75"/>
  <c r="GJ14" i="75"/>
  <c r="GJ15" i="75"/>
  <c r="GJ16" i="75"/>
  <c r="GJ17" i="75"/>
  <c r="GJ18" i="75"/>
  <c r="L1145" i="93"/>
  <c r="GS10" i="75"/>
  <c r="GS11" i="75"/>
  <c r="GS12" i="75"/>
  <c r="GS13" i="75"/>
  <c r="GS14" i="75"/>
  <c r="GS15" i="75"/>
  <c r="GS16" i="75"/>
  <c r="GS17" i="75"/>
  <c r="GS18" i="75"/>
  <c r="GI10" i="75"/>
  <c r="GI11" i="75"/>
  <c r="GI12" i="75"/>
  <c r="GI13" i="75"/>
  <c r="GI14" i="75"/>
  <c r="GI15" i="75"/>
  <c r="GI16" i="75"/>
  <c r="GI17" i="75"/>
  <c r="GI18" i="75"/>
  <c r="L1144" i="93"/>
  <c r="GR10" i="75"/>
  <c r="GR11" i="75"/>
  <c r="GR12" i="75"/>
  <c r="GR13" i="75"/>
  <c r="GR14" i="75"/>
  <c r="GR15" i="75"/>
  <c r="GR16" i="75"/>
  <c r="GR17" i="75"/>
  <c r="GR18" i="75"/>
  <c r="GH10" i="75"/>
  <c r="GH11" i="75"/>
  <c r="GH12" i="75"/>
  <c r="GH13" i="75"/>
  <c r="GH14" i="75"/>
  <c r="GH15" i="75"/>
  <c r="GH16" i="75"/>
  <c r="GH17" i="75"/>
  <c r="GH18" i="75"/>
  <c r="L1143" i="93"/>
  <c r="GQ10" i="75"/>
  <c r="GQ11" i="75"/>
  <c r="GQ12" i="75"/>
  <c r="GQ13" i="75"/>
  <c r="GQ14" i="75"/>
  <c r="GQ15" i="75"/>
  <c r="GQ16" i="75"/>
  <c r="GQ17" i="75"/>
  <c r="GQ18" i="75"/>
  <c r="GG10" i="75"/>
  <c r="GG11" i="75"/>
  <c r="GG12" i="75"/>
  <c r="GG13" i="75"/>
  <c r="GG14" i="75"/>
  <c r="GG15" i="75"/>
  <c r="GG16" i="75"/>
  <c r="GG17" i="75"/>
  <c r="GG18" i="75"/>
  <c r="L1142" i="93"/>
  <c r="GP10" i="75"/>
  <c r="GP11" i="75"/>
  <c r="GP12" i="75"/>
  <c r="GP13" i="75"/>
  <c r="GP14" i="75"/>
  <c r="GP15" i="75"/>
  <c r="GP16" i="75"/>
  <c r="GP17" i="75"/>
  <c r="GP18" i="75"/>
  <c r="GF10" i="75"/>
  <c r="GF11" i="75"/>
  <c r="GF12" i="75"/>
  <c r="GF13" i="75"/>
  <c r="GF14" i="75"/>
  <c r="GF15" i="75"/>
  <c r="GF16" i="75"/>
  <c r="GF17" i="75"/>
  <c r="GF18" i="75"/>
  <c r="L1139" i="93"/>
  <c r="FF10" i="75"/>
  <c r="FF11" i="75"/>
  <c r="FF12" i="75"/>
  <c r="FF13" i="75"/>
  <c r="FF14" i="75"/>
  <c r="FF15" i="75"/>
  <c r="FF16" i="75"/>
  <c r="FF17" i="75"/>
  <c r="FF18" i="75"/>
  <c r="FZ10" i="75"/>
  <c r="FZ11" i="75"/>
  <c r="FZ12" i="75"/>
  <c r="FZ13" i="75"/>
  <c r="FZ14" i="75"/>
  <c r="FZ15" i="75"/>
  <c r="FZ16" i="75"/>
  <c r="FZ17" i="75"/>
  <c r="FZ18" i="75"/>
  <c r="FP10" i="75"/>
  <c r="FP11" i="75"/>
  <c r="FP12" i="75"/>
  <c r="FP13" i="75"/>
  <c r="FP14" i="75"/>
  <c r="FP15" i="75"/>
  <c r="FP16" i="75"/>
  <c r="FP17" i="75"/>
  <c r="FP18" i="75"/>
  <c r="L1138" i="93"/>
  <c r="FE10" i="75"/>
  <c r="FE11" i="75"/>
  <c r="FE12" i="75"/>
  <c r="FE13" i="75"/>
  <c r="FE14" i="75"/>
  <c r="FE15" i="75"/>
  <c r="FE16" i="75"/>
  <c r="FE17" i="75"/>
  <c r="FE18" i="75"/>
  <c r="FY10" i="75"/>
  <c r="FY11" i="75"/>
  <c r="FY12" i="75"/>
  <c r="FY13" i="75"/>
  <c r="FY14" i="75"/>
  <c r="FY15" i="75"/>
  <c r="FY16" i="75"/>
  <c r="FY17" i="75"/>
  <c r="FY18" i="75"/>
  <c r="FO10" i="75"/>
  <c r="FO11" i="75"/>
  <c r="FO12" i="75"/>
  <c r="FO13" i="75"/>
  <c r="FO14" i="75"/>
  <c r="FO15" i="75"/>
  <c r="FO16" i="75"/>
  <c r="FO17" i="75"/>
  <c r="FO18" i="75"/>
  <c r="L1137" i="93"/>
  <c r="FD10" i="75"/>
  <c r="FD11" i="75"/>
  <c r="FD12" i="75"/>
  <c r="FD13" i="75"/>
  <c r="FD14" i="75"/>
  <c r="FD15" i="75"/>
  <c r="FD16" i="75"/>
  <c r="FD17" i="75"/>
  <c r="FD18" i="75"/>
  <c r="FX10" i="75"/>
  <c r="FX11" i="75"/>
  <c r="FX12" i="75"/>
  <c r="FX13" i="75"/>
  <c r="FX14" i="75"/>
  <c r="FX15" i="75"/>
  <c r="FX16" i="75"/>
  <c r="FX17" i="75"/>
  <c r="FX18" i="75"/>
  <c r="FN10" i="75"/>
  <c r="FN11" i="75"/>
  <c r="FN12" i="75"/>
  <c r="FN13" i="75"/>
  <c r="FN14" i="75"/>
  <c r="FN15" i="75"/>
  <c r="FN16" i="75"/>
  <c r="FN17" i="75"/>
  <c r="FN18" i="75"/>
  <c r="L1136" i="93"/>
  <c r="FC10" i="75"/>
  <c r="FC11" i="75"/>
  <c r="FC12" i="75"/>
  <c r="FC13" i="75"/>
  <c r="FC14" i="75"/>
  <c r="FC15" i="75"/>
  <c r="FC16" i="75"/>
  <c r="FC17" i="75"/>
  <c r="FC18" i="75"/>
  <c r="FW10" i="75"/>
  <c r="FW11" i="75"/>
  <c r="FW12" i="75"/>
  <c r="FW13" i="75"/>
  <c r="FW14" i="75"/>
  <c r="FW15" i="75"/>
  <c r="FW16" i="75"/>
  <c r="FW17" i="75"/>
  <c r="FW18" i="75"/>
  <c r="FM10" i="75"/>
  <c r="FM11" i="75"/>
  <c r="FM12" i="75"/>
  <c r="FM13" i="75"/>
  <c r="FM14" i="75"/>
  <c r="FM15" i="75"/>
  <c r="FM16" i="75"/>
  <c r="FM17" i="75"/>
  <c r="FM18" i="75"/>
  <c r="L1135" i="93"/>
  <c r="FB10" i="75"/>
  <c r="FB11" i="75"/>
  <c r="FB12" i="75"/>
  <c r="FB13" i="75"/>
  <c r="FB14" i="75"/>
  <c r="FB15" i="75"/>
  <c r="FB16" i="75"/>
  <c r="FB17" i="75"/>
  <c r="FB18" i="75"/>
  <c r="FV10" i="75"/>
  <c r="FV11" i="75"/>
  <c r="FV12" i="75"/>
  <c r="FV13" i="75"/>
  <c r="FV14" i="75"/>
  <c r="FV15" i="75"/>
  <c r="FV16" i="75"/>
  <c r="FV17" i="75"/>
  <c r="FV18" i="75"/>
  <c r="FL10" i="75"/>
  <c r="FL11" i="75"/>
  <c r="FL12" i="75"/>
  <c r="FL13" i="75"/>
  <c r="FL14" i="75"/>
  <c r="FL15" i="75"/>
  <c r="FL16" i="75"/>
  <c r="FL17" i="75"/>
  <c r="FL18" i="75"/>
  <c r="A1095" i="93"/>
  <c r="K1087" i="93"/>
  <c r="J1087" i="93"/>
  <c r="I1087" i="93"/>
  <c r="H1087" i="93"/>
  <c r="G1087" i="93"/>
  <c r="F1087" i="93"/>
  <c r="E1087" i="93"/>
  <c r="D1087" i="93"/>
  <c r="C1087" i="93"/>
  <c r="B1087" i="93"/>
  <c r="A1087" i="93"/>
  <c r="F1071" i="93"/>
  <c r="E1071" i="93"/>
  <c r="D1071" i="93"/>
  <c r="C1071" i="93"/>
  <c r="B1071" i="93"/>
  <c r="F1068" i="93"/>
  <c r="F1075" i="93" s="1"/>
  <c r="E1068" i="93"/>
  <c r="D1068" i="93"/>
  <c r="C1068" i="93"/>
  <c r="C1075" i="93" s="1"/>
  <c r="B1068" i="93"/>
  <c r="F127" i="74"/>
  <c r="F1083" i="93"/>
  <c r="E127" i="74"/>
  <c r="E1083" i="93" s="1"/>
  <c r="D127" i="74"/>
  <c r="D1083" i="93" s="1"/>
  <c r="C127" i="74"/>
  <c r="C1083" i="93" s="1"/>
  <c r="B127" i="74"/>
  <c r="B1083" i="93" s="1"/>
  <c r="K99" i="74"/>
  <c r="K1055" i="93"/>
  <c r="J99" i="74"/>
  <c r="J1055" i="93" s="1"/>
  <c r="I99" i="74"/>
  <c r="I1055" i="93" s="1"/>
  <c r="H99" i="74"/>
  <c r="H1055" i="93" s="1"/>
  <c r="G99" i="74"/>
  <c r="G1055" i="93"/>
  <c r="F99" i="74"/>
  <c r="F1055" i="93" s="1"/>
  <c r="E99" i="74"/>
  <c r="E1055" i="93"/>
  <c r="D99" i="74"/>
  <c r="D1055" i="93" s="1"/>
  <c r="C99" i="74"/>
  <c r="C1055" i="93"/>
  <c r="B99" i="74"/>
  <c r="B1055" i="93" s="1"/>
  <c r="K71" i="74"/>
  <c r="K1027" i="93" s="1"/>
  <c r="J71" i="74"/>
  <c r="J1027" i="93" s="1"/>
  <c r="I71" i="74"/>
  <c r="I1027" i="93" s="1"/>
  <c r="H71" i="74"/>
  <c r="H1027" i="93" s="1"/>
  <c r="B41" i="74"/>
  <c r="B997" i="93" s="1"/>
  <c r="K70" i="74"/>
  <c r="K1026" i="93" s="1"/>
  <c r="J70" i="74"/>
  <c r="J1026" i="93" s="1"/>
  <c r="I70" i="74"/>
  <c r="I1026" i="93" s="1"/>
  <c r="H70" i="74"/>
  <c r="H1026" i="93" s="1"/>
  <c r="G70" i="74"/>
  <c r="G1026" i="93" s="1"/>
  <c r="F70" i="74"/>
  <c r="F1026" i="93"/>
  <c r="E70" i="74"/>
  <c r="E1026" i="93" s="1"/>
  <c r="D70" i="74"/>
  <c r="D1026" i="93" s="1"/>
  <c r="C70" i="74"/>
  <c r="C1026" i="93" s="1"/>
  <c r="B70" i="74"/>
  <c r="B1026" i="93" s="1"/>
  <c r="C996" i="93"/>
  <c r="D996" i="93"/>
  <c r="E996" i="93"/>
  <c r="F996" i="93"/>
  <c r="G996" i="93"/>
  <c r="I996" i="93"/>
  <c r="J996" i="93"/>
  <c r="K996" i="93"/>
  <c r="B996" i="93"/>
  <c r="K1043" i="93"/>
  <c r="J1043" i="93"/>
  <c r="I1043" i="93"/>
  <c r="H1043" i="93"/>
  <c r="G1043" i="93"/>
  <c r="F1043" i="93"/>
  <c r="E1043" i="93"/>
  <c r="D1043" i="93"/>
  <c r="C1043" i="93"/>
  <c r="B1043" i="93"/>
  <c r="K1040" i="93"/>
  <c r="K1047" i="93" s="1"/>
  <c r="J1040" i="93"/>
  <c r="J1047" i="93" s="1"/>
  <c r="I1040" i="93"/>
  <c r="H1040" i="93"/>
  <c r="H1047" i="93" s="1"/>
  <c r="G1040" i="93"/>
  <c r="G1047" i="93" s="1"/>
  <c r="F1040" i="93"/>
  <c r="E1040" i="93"/>
  <c r="D1040" i="93"/>
  <c r="D1047" i="93" s="1"/>
  <c r="C1040" i="93"/>
  <c r="C1047" i="93" s="1"/>
  <c r="B1040" i="93"/>
  <c r="B1047" i="93" s="1"/>
  <c r="K1015" i="93"/>
  <c r="J1015" i="93"/>
  <c r="I1015" i="93"/>
  <c r="H1015" i="93"/>
  <c r="G1015" i="93"/>
  <c r="F1015" i="93"/>
  <c r="E1015" i="93"/>
  <c r="D1015" i="93"/>
  <c r="C1015" i="93"/>
  <c r="B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4" i="93"/>
  <c r="B983" i="93"/>
  <c r="K965" i="93"/>
  <c r="K964" i="93"/>
  <c r="G965" i="93"/>
  <c r="G964" i="93"/>
  <c r="G961" i="93"/>
  <c r="B964" i="93"/>
  <c r="B1075" i="93"/>
  <c r="D1075" i="93"/>
  <c r="F1062" i="93"/>
  <c r="E1062" i="93"/>
  <c r="D1062" i="93"/>
  <c r="C1062" i="93"/>
  <c r="B1062" i="93"/>
  <c r="F1061" i="93"/>
  <c r="E1061" i="93"/>
  <c r="D1061" i="93"/>
  <c r="C1061" i="93"/>
  <c r="B1061" i="93"/>
  <c r="I1047"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c r="A1011" i="93"/>
  <c r="A1041" i="93"/>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7" i="93"/>
  <c r="A1017" i="93" s="1"/>
  <c r="A1046" i="93" s="1"/>
  <c r="A1074" i="93" s="1"/>
  <c r="B977" i="93"/>
  <c r="K974" i="93"/>
  <c r="J974" i="93"/>
  <c r="I974" i="93"/>
  <c r="H974" i="93"/>
  <c r="G974" i="93"/>
  <c r="F974" i="93"/>
  <c r="E974" i="93"/>
  <c r="D974" i="93"/>
  <c r="C974" i="93"/>
  <c r="B974" i="93"/>
  <c r="K973" i="93"/>
  <c r="J973" i="93"/>
  <c r="I973" i="93"/>
  <c r="H973" i="93"/>
  <c r="G973" i="93"/>
  <c r="F973" i="93"/>
  <c r="E973" i="93"/>
  <c r="D973" i="93"/>
  <c r="C973" i="93"/>
  <c r="B973" i="93"/>
  <c r="C969" i="93"/>
  <c r="C977" i="93" s="1"/>
  <c r="K963" i="93"/>
  <c r="G962" i="93"/>
  <c r="K961" i="93"/>
  <c r="A957" i="93"/>
  <c r="P922" i="93"/>
  <c r="P921" i="93"/>
  <c r="P923" i="93"/>
  <c r="K938" i="93"/>
  <c r="K937" i="93"/>
  <c r="K939" i="93"/>
  <c r="K940" i="93"/>
  <c r="L938" i="93"/>
  <c r="L939"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4" i="93"/>
  <c r="F923" i="93"/>
  <c r="G923" i="93"/>
  <c r="G924" i="93"/>
  <c r="K915" i="93"/>
  <c r="J915" i="93"/>
  <c r="I915" i="93"/>
  <c r="H915" i="93"/>
  <c r="G915" i="93"/>
  <c r="K914" i="93"/>
  <c r="J914" i="93"/>
  <c r="J916" i="93" s="1"/>
  <c r="I914" i="93"/>
  <c r="H914" i="93"/>
  <c r="G914" i="93"/>
  <c r="H910" i="93"/>
  <c r="I910" i="93"/>
  <c r="J910" i="93"/>
  <c r="J912" i="93" s="1"/>
  <c r="K910" i="93"/>
  <c r="K912" i="93" s="1"/>
  <c r="H911" i="93"/>
  <c r="I911" i="93"/>
  <c r="I912" i="93" s="1"/>
  <c r="J911" i="93"/>
  <c r="K911" i="93"/>
  <c r="G911" i="93"/>
  <c r="P906" i="93"/>
  <c r="O906" i="93"/>
  <c r="O907" i="93" s="1"/>
  <c r="N906" i="93"/>
  <c r="M906" i="93"/>
  <c r="L906" i="93"/>
  <c r="K906" i="93"/>
  <c r="J906" i="93"/>
  <c r="I906" i="93"/>
  <c r="H906" i="93"/>
  <c r="G906" i="93"/>
  <c r="P905" i="93"/>
  <c r="P907" i="93" s="1"/>
  <c r="O905" i="93"/>
  <c r="N905" i="93"/>
  <c r="N907" i="93" s="1"/>
  <c r="M905" i="93"/>
  <c r="L905" i="93"/>
  <c r="L907" i="93" s="1"/>
  <c r="K905" i="93"/>
  <c r="K907" i="93" s="1"/>
  <c r="J905" i="93"/>
  <c r="J907" i="93" s="1"/>
  <c r="I905" i="93"/>
  <c r="I907" i="93" s="1"/>
  <c r="H905" i="93"/>
  <c r="G905" i="93"/>
  <c r="P902" i="93"/>
  <c r="O902" i="93"/>
  <c r="N902" i="93"/>
  <c r="M902" i="93"/>
  <c r="L902" i="93"/>
  <c r="L903" i="93" s="1"/>
  <c r="K902" i="93"/>
  <c r="K903" i="93" s="1"/>
  <c r="J902" i="93"/>
  <c r="I902" i="93"/>
  <c r="H902" i="93"/>
  <c r="G902" i="93"/>
  <c r="P901" i="93"/>
  <c r="O901" i="93"/>
  <c r="O903" i="93"/>
  <c r="N901" i="93"/>
  <c r="M901" i="93"/>
  <c r="L901" i="93"/>
  <c r="K901" i="93"/>
  <c r="J901" i="93"/>
  <c r="J903" i="93" s="1"/>
  <c r="I901" i="93"/>
  <c r="I903" i="93" s="1"/>
  <c r="H901" i="93"/>
  <c r="G901" i="93"/>
  <c r="G903" i="93"/>
  <c r="P897" i="93"/>
  <c r="O897" i="93"/>
  <c r="N897" i="93"/>
  <c r="M897" i="93"/>
  <c r="L897" i="93"/>
  <c r="L898" i="93"/>
  <c r="K897" i="93"/>
  <c r="J897" i="93"/>
  <c r="I897" i="93"/>
  <c r="H897" i="93"/>
  <c r="G897" i="93"/>
  <c r="P896" i="93"/>
  <c r="P898" i="93" s="1"/>
  <c r="O896" i="93"/>
  <c r="N896" i="93"/>
  <c r="M896" i="93"/>
  <c r="L896" i="93"/>
  <c r="K896" i="93"/>
  <c r="J896" i="93"/>
  <c r="J898" i="93"/>
  <c r="I896" i="93"/>
  <c r="I898" i="93" s="1"/>
  <c r="H896" i="93"/>
  <c r="H898" i="93" s="1"/>
  <c r="G896" i="93"/>
  <c r="P893" i="93"/>
  <c r="O893" i="93"/>
  <c r="N893" i="93"/>
  <c r="M893" i="93"/>
  <c r="L893" i="93"/>
  <c r="K893" i="93"/>
  <c r="J893" i="93"/>
  <c r="I893" i="93"/>
  <c r="H893" i="93"/>
  <c r="G893" i="93"/>
  <c r="P892" i="93"/>
  <c r="P894" i="93" s="1"/>
  <c r="O892" i="93"/>
  <c r="O894" i="93" s="1"/>
  <c r="N892" i="93"/>
  <c r="M892" i="93"/>
  <c r="M894" i="93" s="1"/>
  <c r="L892" i="93"/>
  <c r="L894" i="93" s="1"/>
  <c r="K892" i="93"/>
  <c r="J892" i="93"/>
  <c r="I892" i="93"/>
  <c r="I894" i="93" s="1"/>
  <c r="H892" i="93"/>
  <c r="H894" i="93" s="1"/>
  <c r="G892" i="93"/>
  <c r="G894" i="93" s="1"/>
  <c r="P888" i="93"/>
  <c r="O888" i="93"/>
  <c r="N888" i="93"/>
  <c r="M888" i="93"/>
  <c r="L888" i="93"/>
  <c r="K888" i="93"/>
  <c r="J888" i="93"/>
  <c r="J889" i="93" s="1"/>
  <c r="I888" i="93"/>
  <c r="I889" i="93" s="1"/>
  <c r="H888" i="93"/>
  <c r="G888" i="93"/>
  <c r="P887" i="93"/>
  <c r="P889" i="93" s="1"/>
  <c r="O887" i="93"/>
  <c r="O889" i="93" s="1"/>
  <c r="N887" i="93"/>
  <c r="N889" i="93" s="1"/>
  <c r="M887" i="93"/>
  <c r="L887" i="93"/>
  <c r="L889" i="93"/>
  <c r="K887" i="93"/>
  <c r="K889" i="93" s="1"/>
  <c r="J887" i="93"/>
  <c r="I887" i="93"/>
  <c r="H887" i="93"/>
  <c r="H889" i="93" s="1"/>
  <c r="G887" i="93"/>
  <c r="G889" i="93" s="1"/>
  <c r="H883" i="93"/>
  <c r="I883" i="93"/>
  <c r="J883" i="93"/>
  <c r="K883" i="93"/>
  <c r="L883" i="93"/>
  <c r="L885" i="93" s="1"/>
  <c r="M883" i="93"/>
  <c r="N883" i="93"/>
  <c r="N885" i="93" s="1"/>
  <c r="O883" i="93"/>
  <c r="O885" i="93"/>
  <c r="P883" i="93"/>
  <c r="H884" i="93"/>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O804" i="93"/>
  <c r="O803" i="93"/>
  <c r="O802" i="93"/>
  <c r="O801" i="93"/>
  <c r="O800" i="93"/>
  <c r="O799" i="93"/>
  <c r="O798" i="93"/>
  <c r="O797" i="93"/>
  <c r="JH797" i="93" s="1"/>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B774" i="93"/>
  <c r="M774" i="93"/>
  <c r="CY774" i="93" s="1"/>
  <c r="O773" i="93"/>
  <c r="O772" i="93"/>
  <c r="O771" i="93"/>
  <c r="O770" i="93"/>
  <c r="B770" i="93"/>
  <c r="M770" i="93"/>
  <c r="O769" i="93"/>
  <c r="O768" i="93"/>
  <c r="JI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M804" i="93"/>
  <c r="M803" i="93"/>
  <c r="M802" i="93"/>
  <c r="M801" i="93"/>
  <c r="M800" i="93"/>
  <c r="M799" i="93"/>
  <c r="M798" i="93"/>
  <c r="M797" i="93"/>
  <c r="M796" i="93"/>
  <c r="M795" i="93"/>
  <c r="M794" i="93"/>
  <c r="M793" i="93"/>
  <c r="M792" i="93"/>
  <c r="M791" i="93"/>
  <c r="M790" i="93"/>
  <c r="M789" i="93"/>
  <c r="DA789" i="93" s="1"/>
  <c r="M788" i="93"/>
  <c r="M787" i="93"/>
  <c r="M786" i="93"/>
  <c r="M785" i="93"/>
  <c r="M784" i="93"/>
  <c r="M783" i="93"/>
  <c r="M782" i="93"/>
  <c r="M781" i="93"/>
  <c r="DB781" i="93" s="1"/>
  <c r="M780" i="93"/>
  <c r="M779" i="93"/>
  <c r="M778" i="93"/>
  <c r="M777" i="93"/>
  <c r="M776" i="93"/>
  <c r="M775" i="93"/>
  <c r="M773" i="93"/>
  <c r="M772" i="93"/>
  <c r="DC772" i="93" s="1"/>
  <c r="M771" i="93"/>
  <c r="DB770" i="93"/>
  <c r="M769"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I790" i="93"/>
  <c r="I781" i="93"/>
  <c r="I778" i="93"/>
  <c r="I775" i="93"/>
  <c r="I774" i="93"/>
  <c r="I773"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K775" i="93" s="1"/>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W774" i="93" s="1"/>
  <c r="E773" i="93"/>
  <c r="E772" i="93"/>
  <c r="JO772" i="93" s="1"/>
  <c r="E771" i="93"/>
  <c r="JN771" i="93" s="1"/>
  <c r="E770" i="93"/>
  <c r="E769"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C803" i="93"/>
  <c r="CU803" i="93" s="1"/>
  <c r="C802" i="93"/>
  <c r="C801" i="93"/>
  <c r="C800" i="93"/>
  <c r="C799" i="93"/>
  <c r="CX799" i="93" s="1"/>
  <c r="C798" i="93"/>
  <c r="C797" i="93"/>
  <c r="C796" i="93"/>
  <c r="C795" i="93"/>
  <c r="CX795" i="93" s="1"/>
  <c r="C794" i="93"/>
  <c r="AB794" i="93" s="1"/>
  <c r="C793" i="93"/>
  <c r="C792" i="93"/>
  <c r="C791" i="93"/>
  <c r="CX791" i="93" s="1"/>
  <c r="C790" i="93"/>
  <c r="C789" i="93"/>
  <c r="C788" i="93"/>
  <c r="C787" i="93"/>
  <c r="CV787" i="93" s="1"/>
  <c r="C786" i="93"/>
  <c r="C785" i="93"/>
  <c r="C784" i="93"/>
  <c r="C783" i="93"/>
  <c r="CW783" i="93" s="1"/>
  <c r="C782" i="93"/>
  <c r="C781" i="93"/>
  <c r="C780" i="93"/>
  <c r="C779" i="93"/>
  <c r="CU779" i="93" s="1"/>
  <c r="C778" i="93"/>
  <c r="HP778" i="93" s="1"/>
  <c r="C777" i="93"/>
  <c r="C776" i="93"/>
  <c r="B769" i="93"/>
  <c r="B771" i="93"/>
  <c r="IZ771" i="93"/>
  <c r="B772" i="93"/>
  <c r="B773" i="93"/>
  <c r="B775" i="93"/>
  <c r="B776" i="93"/>
  <c r="B777" i="93"/>
  <c r="B778" i="93"/>
  <c r="DR778" i="93" s="1"/>
  <c r="B779" i="93"/>
  <c r="B780" i="93"/>
  <c r="B781" i="93"/>
  <c r="B782" i="93"/>
  <c r="ER782" i="93" s="1"/>
  <c r="B783" i="93"/>
  <c r="B784" i="93"/>
  <c r="B785" i="93"/>
  <c r="B786" i="93"/>
  <c r="IM786" i="93" s="1"/>
  <c r="B787" i="93"/>
  <c r="B788" i="93"/>
  <c r="B789" i="93"/>
  <c r="B790" i="93"/>
  <c r="B791" i="93"/>
  <c r="B792" i="93"/>
  <c r="B793" i="93"/>
  <c r="B794" i="93"/>
  <c r="B795" i="93"/>
  <c r="B796" i="93"/>
  <c r="B797" i="93"/>
  <c r="B798" i="93"/>
  <c r="B799" i="93"/>
  <c r="B800" i="93"/>
  <c r="B801" i="93"/>
  <c r="B802" i="93"/>
  <c r="B803" i="93"/>
  <c r="B804" i="93"/>
  <c r="G910" i="93"/>
  <c r="G912" i="93" s="1"/>
  <c r="P950" i="93"/>
  <c r="O950" i="93"/>
  <c r="N950" i="93"/>
  <c r="M950" i="93"/>
  <c r="L950" i="93"/>
  <c r="K950" i="93"/>
  <c r="J950" i="93"/>
  <c r="I950" i="93"/>
  <c r="H950" i="93"/>
  <c r="G950" i="93"/>
  <c r="F950" i="93"/>
  <c r="E950" i="93"/>
  <c r="D950" i="93"/>
  <c r="C950" i="93"/>
  <c r="B950" i="93"/>
  <c r="A950" i="93"/>
  <c r="P936" i="93"/>
  <c r="O923" i="93"/>
  <c r="N923" i="93"/>
  <c r="J941" i="93"/>
  <c r="I941" i="93"/>
  <c r="L937" i="93"/>
  <c r="J931" i="93"/>
  <c r="I931" i="93"/>
  <c r="L928" i="93"/>
  <c r="K928" i="93"/>
  <c r="L921" i="93"/>
  <c r="K921"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O838" i="93" s="1"/>
  <c r="F763" i="93"/>
  <c r="G762" i="93"/>
  <c r="N40" i="66"/>
  <c r="P934" i="93" s="1"/>
  <c r="R918" i="93"/>
  <c r="H916" i="93"/>
  <c r="G916" i="93"/>
  <c r="R913" i="93"/>
  <c r="S909" i="93"/>
  <c r="G907" i="93"/>
  <c r="R904" i="93"/>
  <c r="N903" i="93"/>
  <c r="M903" i="93"/>
  <c r="S900" i="93"/>
  <c r="O898" i="93"/>
  <c r="K898" i="93"/>
  <c r="R895" i="93"/>
  <c r="N894" i="93"/>
  <c r="J894" i="93"/>
  <c r="S891" i="93"/>
  <c r="R886" i="93"/>
  <c r="I885" i="93"/>
  <c r="H885" i="93"/>
  <c r="R882" i="93"/>
  <c r="R881" i="93"/>
  <c r="R879" i="93"/>
  <c r="R869" i="93"/>
  <c r="R860" i="93"/>
  <c r="R842" i="93"/>
  <c r="R828" i="93"/>
  <c r="R824" i="93"/>
  <c r="R820" i="93"/>
  <c r="R810" i="93"/>
  <c r="JR805" i="93"/>
  <c r="JQ803" i="93"/>
  <c r="JP803" i="93"/>
  <c r="JL803" i="93"/>
  <c r="JJ803" i="93"/>
  <c r="JI803" i="93"/>
  <c r="JH803" i="93"/>
  <c r="JD803" i="93"/>
  <c r="IV803" i="93"/>
  <c r="IS803" i="93"/>
  <c r="IF803" i="93"/>
  <c r="HX803" i="93"/>
  <c r="HW803" i="93"/>
  <c r="HO803" i="93"/>
  <c r="HH803" i="93"/>
  <c r="HG803" i="93"/>
  <c r="GY803" i="93"/>
  <c r="GR803" i="93"/>
  <c r="GQ803" i="93"/>
  <c r="GI803" i="93"/>
  <c r="GB803" i="93"/>
  <c r="GA803" i="93"/>
  <c r="FS803" i="93"/>
  <c r="FL803" i="93"/>
  <c r="FK803" i="93"/>
  <c r="FC803" i="93"/>
  <c r="FA803" i="93"/>
  <c r="EZ803" i="93"/>
  <c r="EX803" i="93"/>
  <c r="EW803" i="93"/>
  <c r="ER803" i="93"/>
  <c r="EF803" i="93"/>
  <c r="ED803" i="93"/>
  <c r="DT803" i="93"/>
  <c r="DE803" i="93"/>
  <c r="DD803" i="93"/>
  <c r="DC803" i="93"/>
  <c r="DA803" i="93"/>
  <c r="CZ803" i="93"/>
  <c r="CY803" i="93"/>
  <c r="CW803" i="93"/>
  <c r="CT803" i="93"/>
  <c r="CS803" i="93"/>
  <c r="CH803" i="93"/>
  <c r="CD803" i="93"/>
  <c r="BY803" i="93"/>
  <c r="BW803" i="93"/>
  <c r="BV803" i="93"/>
  <c r="BU803" i="93"/>
  <c r="BD803" i="93"/>
  <c r="AH803" i="93"/>
  <c r="AC803" i="93"/>
  <c r="GU801" i="93"/>
  <c r="EY801" i="93"/>
  <c r="JH799" i="93"/>
  <c r="IY799" i="93"/>
  <c r="IX799" i="93"/>
  <c r="IQ799" i="93"/>
  <c r="IN799" i="93"/>
  <c r="IH799" i="93"/>
  <c r="ID799" i="93"/>
  <c r="HV799" i="93"/>
  <c r="GP799" i="93"/>
  <c r="FJ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DC797" i="93"/>
  <c r="CY797" i="93"/>
  <c r="CX797" i="93"/>
  <c r="CT797" i="93"/>
  <c r="BX797" i="93"/>
  <c r="BW797" i="93"/>
  <c r="IA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IA793" i="93"/>
  <c r="HS793" i="93"/>
  <c r="HK793" i="93"/>
  <c r="HC793" i="93"/>
  <c r="GU793" i="93"/>
  <c r="GM793" i="93"/>
  <c r="GE793" i="93"/>
  <c r="FW793" i="93"/>
  <c r="FO793" i="93"/>
  <c r="FG793" i="93"/>
  <c r="EY793" i="93"/>
  <c r="CV793" i="93"/>
  <c r="FL792" i="93"/>
  <c r="JL791" i="93"/>
  <c r="JB791" i="93"/>
  <c r="IV791" i="93"/>
  <c r="IT791" i="93"/>
  <c r="IN791" i="93"/>
  <c r="IM791" i="93"/>
  <c r="IH791" i="93"/>
  <c r="IF791" i="93"/>
  <c r="HQ791" i="93"/>
  <c r="GR791" i="93"/>
  <c r="GB791" i="93"/>
  <c r="FL791" i="93"/>
  <c r="EX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CP789" i="93"/>
  <c r="JE788" i="93"/>
  <c r="EZ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HY786" i="93"/>
  <c r="GS786" i="93"/>
  <c r="FB786" i="93"/>
  <c r="AP786" i="93"/>
  <c r="HY785" i="93"/>
  <c r="HQ785" i="93"/>
  <c r="HI785" i="93"/>
  <c r="HA785" i="93"/>
  <c r="GS785" i="93"/>
  <c r="GK785" i="93"/>
  <c r="GC785" i="93"/>
  <c r="FU785" i="93"/>
  <c r="FM785" i="93"/>
  <c r="FE785" i="93"/>
  <c r="EW785" i="93"/>
  <c r="CW785" i="93"/>
  <c r="BV785" i="93"/>
  <c r="GK784" i="93"/>
  <c r="JK783" i="93"/>
  <c r="JB783" i="93"/>
  <c r="JA783" i="93"/>
  <c r="IW783" i="93"/>
  <c r="IV783" i="93"/>
  <c r="IR783" i="93"/>
  <c r="IP783" i="93"/>
  <c r="IL783" i="93"/>
  <c r="IK783" i="93"/>
  <c r="IG783" i="93"/>
  <c r="IF783" i="93"/>
  <c r="HU783" i="93"/>
  <c r="HL783" i="93"/>
  <c r="HD783" i="93"/>
  <c r="GV783" i="93"/>
  <c r="GN783" i="93"/>
  <c r="GF783" i="93"/>
  <c r="FX783" i="93"/>
  <c r="FP783" i="93"/>
  <c r="FH783" i="93"/>
  <c r="EZ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C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CT781" i="93"/>
  <c r="HU780" i="93"/>
  <c r="GO780" i="93"/>
  <c r="F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J777" i="93"/>
  <c r="JA777" i="93"/>
  <c r="IC777" i="93"/>
  <c r="IB777" i="93"/>
  <c r="HX777" i="93"/>
  <c r="HV777" i="93"/>
  <c r="HU777" i="93"/>
  <c r="HT777" i="93"/>
  <c r="HR777" i="93"/>
  <c r="HP777" i="93"/>
  <c r="HN777" i="93"/>
  <c r="HM777" i="93"/>
  <c r="HL777" i="93"/>
  <c r="HJ777" i="93"/>
  <c r="HH777" i="93"/>
  <c r="HF777" i="93"/>
  <c r="HE777" i="93"/>
  <c r="HD777" i="93"/>
  <c r="HB777" i="93"/>
  <c r="GZ777" i="93"/>
  <c r="GX777" i="93"/>
  <c r="GW777" i="93"/>
  <c r="GV777" i="93"/>
  <c r="GT777" i="93"/>
  <c r="GR777" i="93"/>
  <c r="GP777" i="93"/>
  <c r="GO777" i="93"/>
  <c r="GN777" i="93"/>
  <c r="GL777" i="93"/>
  <c r="GJ777" i="93"/>
  <c r="GH777" i="93"/>
  <c r="GG777" i="93"/>
  <c r="GF777" i="93"/>
  <c r="GD777" i="93"/>
  <c r="GB777" i="93"/>
  <c r="FZ777" i="93"/>
  <c r="FY777" i="93"/>
  <c r="FX777" i="93"/>
  <c r="FV777" i="93"/>
  <c r="FT777" i="93"/>
  <c r="FR777" i="93"/>
  <c r="FQ777" i="93"/>
  <c r="FP777" i="93"/>
  <c r="FN777" i="93"/>
  <c r="FL777" i="93"/>
  <c r="FK777" i="93"/>
  <c r="FJ777" i="93"/>
  <c r="FI777" i="93"/>
  <c r="FH777" i="93"/>
  <c r="FF777" i="93"/>
  <c r="FD777" i="93"/>
  <c r="FC777" i="93"/>
  <c r="FB777" i="93"/>
  <c r="FA777" i="93"/>
  <c r="EZ777" i="93"/>
  <c r="EX777" i="93"/>
  <c r="ES777" i="93"/>
  <c r="DD777" i="93"/>
  <c r="DC777" i="93"/>
  <c r="DB777" i="93"/>
  <c r="DA777" i="93"/>
  <c r="CY777" i="93"/>
  <c r="CW777" i="93"/>
  <c r="CV777" i="93"/>
  <c r="CU777" i="93"/>
  <c r="CT777" i="93"/>
  <c r="CI777" i="93"/>
  <c r="BY777" i="93"/>
  <c r="BX777" i="93"/>
  <c r="BV777" i="93"/>
  <c r="BU777" i="93"/>
  <c r="BH777" i="93"/>
  <c r="AB777" i="93"/>
  <c r="HS776" i="93"/>
  <c r="GM776" i="93"/>
  <c r="FG776" i="93"/>
  <c r="JQ775" i="93"/>
  <c r="HK775" i="93"/>
  <c r="GS775" i="93"/>
  <c r="GF775" i="93"/>
  <c r="FN775" i="93"/>
  <c r="FA775" i="93"/>
  <c r="EZ775" i="93"/>
  <c r="EY775" i="93"/>
  <c r="EW775" i="93"/>
  <c r="HL774" i="93"/>
  <c r="EZ774" i="93"/>
  <c r="IK773" i="93"/>
  <c r="DT773" i="93"/>
  <c r="CE773" i="93"/>
  <c r="AY773" i="93"/>
  <c r="HX772" i="93"/>
  <c r="HW772" i="93"/>
  <c r="HV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W772" i="93"/>
  <c r="DB772" i="93"/>
  <c r="CX772" i="93"/>
  <c r="CW772" i="93"/>
  <c r="CV772" i="93"/>
  <c r="CT772" i="93"/>
  <c r="BW772" i="93"/>
  <c r="BV772" i="93"/>
  <c r="BU772" i="93"/>
  <c r="JO771" i="93"/>
  <c r="JK771" i="93"/>
  <c r="JG771" i="93"/>
  <c r="JC771" i="93"/>
  <c r="JB771" i="93"/>
  <c r="JA771" i="93"/>
  <c r="IX771" i="93"/>
  <c r="IW771" i="93"/>
  <c r="IT771" i="93"/>
  <c r="IS771" i="93"/>
  <c r="IP771" i="93"/>
  <c r="IO771" i="93"/>
  <c r="IL771" i="93"/>
  <c r="IK771" i="93"/>
  <c r="IH771" i="93"/>
  <c r="IG771" i="93"/>
  <c r="ID771" i="93"/>
  <c r="HX771" i="93"/>
  <c r="HW771" i="93"/>
  <c r="HV771" i="93"/>
  <c r="HU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T771" i="93"/>
  <c r="ES771" i="93"/>
  <c r="EP771" i="93"/>
  <c r="EO771" i="93"/>
  <c r="EL771" i="93"/>
  <c r="EK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ES770" i="93"/>
  <c r="CI770" i="93"/>
  <c r="AM770" i="93"/>
  <c r="JQ769" i="93"/>
  <c r="JM769" i="93"/>
  <c r="JA769" i="93"/>
  <c r="IW769" i="93"/>
  <c r="IS769" i="93"/>
  <c r="IO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S769" i="93"/>
  <c r="EO769" i="93"/>
  <c r="EK769" i="93"/>
  <c r="EG769" i="93"/>
  <c r="EC769" i="93"/>
  <c r="DY769" i="93"/>
  <c r="DU769" i="93"/>
  <c r="DQ769" i="93"/>
  <c r="DM769" i="93"/>
  <c r="DI769" i="93"/>
  <c r="DE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K768" i="93"/>
  <c r="JJ768" i="93"/>
  <c r="JG768" i="93"/>
  <c r="JF768" i="93"/>
  <c r="JC768" i="93"/>
  <c r="IU768" i="93"/>
  <c r="IE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W768" i="93"/>
  <c r="DC768" i="93"/>
  <c r="DB768" i="93"/>
  <c r="DA768" i="93"/>
  <c r="CZ768" i="93"/>
  <c r="CY768" i="93"/>
  <c r="CX768" i="93"/>
  <c r="CW768" i="93"/>
  <c r="CV768" i="93"/>
  <c r="CU768" i="93"/>
  <c r="CT768" i="93"/>
  <c r="CM768" i="93"/>
  <c r="BY768" i="93"/>
  <c r="BX768" i="93"/>
  <c r="BW768" i="93"/>
  <c r="BV768" i="93"/>
  <c r="BU768" i="93"/>
  <c r="BG768" i="93"/>
  <c r="O763" i="93"/>
  <c r="M763" i="93"/>
  <c r="U760" i="93"/>
  <c r="A758" i="93"/>
  <c r="U758" i="93" s="1"/>
  <c r="J17" i="78"/>
  <c r="J27" i="78"/>
  <c r="J64" i="78"/>
  <c r="J77" i="78"/>
  <c r="J83" i="78"/>
  <c r="J118" i="78"/>
  <c r="J126" i="78"/>
  <c r="BZ10" i="75"/>
  <c r="BZ11" i="75"/>
  <c r="BZ12" i="75"/>
  <c r="BZ13" i="75"/>
  <c r="BZ14" i="75"/>
  <c r="BZ15" i="75"/>
  <c r="BZ16" i="75"/>
  <c r="BZ17" i="75"/>
  <c r="BZ18" i="75"/>
  <c r="CE10" i="75"/>
  <c r="CE11" i="75"/>
  <c r="CE12" i="75"/>
  <c r="CE13" i="75"/>
  <c r="CE14" i="75"/>
  <c r="CE15" i="75"/>
  <c r="CE16" i="75"/>
  <c r="CE17" i="75"/>
  <c r="CE18" i="75"/>
  <c r="CA10" i="75"/>
  <c r="CA11" i="75"/>
  <c r="CA12" i="75"/>
  <c r="CA13" i="75"/>
  <c r="CA14" i="75"/>
  <c r="CA15" i="75"/>
  <c r="CA16" i="75"/>
  <c r="CA17" i="75"/>
  <c r="CA18" i="75"/>
  <c r="CF10" i="75"/>
  <c r="CF11" i="75"/>
  <c r="CF12" i="75"/>
  <c r="CF13" i="75"/>
  <c r="CF14" i="75"/>
  <c r="CF15" i="75"/>
  <c r="CF16" i="75"/>
  <c r="CF17" i="75"/>
  <c r="CF18" i="75"/>
  <c r="CB10" i="75"/>
  <c r="CB11" i="75"/>
  <c r="CB12" i="75"/>
  <c r="CB13" i="75"/>
  <c r="CB14" i="75"/>
  <c r="CB15" i="75"/>
  <c r="CB16" i="75"/>
  <c r="CB17" i="75"/>
  <c r="CB18" i="75"/>
  <c r="CG10" i="75"/>
  <c r="CG11" i="75"/>
  <c r="CG12" i="75"/>
  <c r="CG13" i="75"/>
  <c r="CG14" i="75"/>
  <c r="CG15" i="75"/>
  <c r="CG16" i="75"/>
  <c r="CG17" i="75"/>
  <c r="CG18" i="75"/>
  <c r="CC10" i="75"/>
  <c r="CC11" i="75"/>
  <c r="CC12" i="75"/>
  <c r="CC13" i="75"/>
  <c r="CC14" i="75"/>
  <c r="CC15" i="75"/>
  <c r="CC16" i="75"/>
  <c r="CC17" i="75"/>
  <c r="CC18" i="75"/>
  <c r="CH10" i="75"/>
  <c r="CH11" i="75"/>
  <c r="CH12" i="75"/>
  <c r="CH13" i="75"/>
  <c r="CH14" i="75"/>
  <c r="CH15" i="75"/>
  <c r="CH16" i="75"/>
  <c r="CH17" i="75"/>
  <c r="CH18" i="75"/>
  <c r="CD10" i="75"/>
  <c r="CD11" i="75"/>
  <c r="CD12" i="75"/>
  <c r="CD13" i="75"/>
  <c r="CD14" i="75"/>
  <c r="CD15" i="75"/>
  <c r="CD16" i="75"/>
  <c r="CD17" i="75"/>
  <c r="CD18" i="75"/>
  <c r="CI10" i="75"/>
  <c r="CI11" i="75"/>
  <c r="CI12" i="75"/>
  <c r="CI13" i="75"/>
  <c r="CI14" i="75"/>
  <c r="CI15" i="75"/>
  <c r="CI16" i="75"/>
  <c r="CI17" i="75"/>
  <c r="CI18" i="75"/>
  <c r="CO10" i="75"/>
  <c r="CO11" i="75"/>
  <c r="CO12" i="75"/>
  <c r="CO13" i="75"/>
  <c r="CO14" i="75"/>
  <c r="CO15" i="75"/>
  <c r="CO16" i="75"/>
  <c r="CO17" i="75"/>
  <c r="CO18" i="75"/>
  <c r="CP10" i="75"/>
  <c r="CP11" i="75"/>
  <c r="CP12" i="75"/>
  <c r="CP13" i="75"/>
  <c r="CP14" i="75"/>
  <c r="CP15" i="75"/>
  <c r="CP16" i="75"/>
  <c r="CP17" i="75"/>
  <c r="CP18" i="75"/>
  <c r="CQ10" i="75"/>
  <c r="CQ11" i="75"/>
  <c r="CQ12" i="75"/>
  <c r="CQ13" i="75"/>
  <c r="CQ14" i="75"/>
  <c r="CQ15" i="75"/>
  <c r="CQ16" i="75"/>
  <c r="CQ17" i="75"/>
  <c r="CQ18" i="75"/>
  <c r="CR10" i="75"/>
  <c r="CR11" i="75"/>
  <c r="CR12" i="75"/>
  <c r="CR13" i="75"/>
  <c r="CR14" i="75"/>
  <c r="CR15" i="75"/>
  <c r="CR16" i="75"/>
  <c r="CR17" i="75"/>
  <c r="CR18" i="75"/>
  <c r="CS10" i="75"/>
  <c r="CS11" i="75"/>
  <c r="CS12" i="75"/>
  <c r="CS13" i="75"/>
  <c r="CS14" i="75"/>
  <c r="CS15" i="75"/>
  <c r="CS16" i="75"/>
  <c r="CS17" i="75"/>
  <c r="CS18" i="75"/>
  <c r="O1583" i="93"/>
  <c r="P1567" i="93"/>
  <c r="F1569" i="93"/>
  <c r="P1564" i="93" s="1"/>
  <c r="O1569" i="93"/>
  <c r="P1566" i="93" s="1"/>
  <c r="J1569" i="93"/>
  <c r="P1565" i="93" s="1"/>
  <c r="D969" i="93"/>
  <c r="C975" i="93"/>
  <c r="E1075" i="93"/>
  <c r="F1047" i="93"/>
  <c r="E1047" i="93"/>
  <c r="HC786" i="93"/>
  <c r="FM786" i="93"/>
  <c r="HN786" i="93"/>
  <c r="FW786" i="93"/>
  <c r="GM790" i="93"/>
  <c r="HC790" i="93"/>
  <c r="GC794" i="93"/>
  <c r="HI794" i="93"/>
  <c r="GC798" i="93"/>
  <c r="HT798"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IT777" i="93"/>
  <c r="JK781" i="93"/>
  <c r="IO781" i="93"/>
  <c r="JD785" i="93"/>
  <c r="EU785" i="93"/>
  <c r="EP785" i="93"/>
  <c r="JL789" i="93"/>
  <c r="IW789" i="93"/>
  <c r="JH789" i="93"/>
  <c r="DL789" i="93"/>
  <c r="JK793" i="93"/>
  <c r="DT793" i="93"/>
  <c r="JG793" i="93"/>
  <c r="JC797" i="93"/>
  <c r="IQ801" i="93"/>
  <c r="DU786" i="93"/>
  <c r="GD804" i="93"/>
  <c r="JO804" i="93"/>
  <c r="FI801" i="93"/>
  <c r="FU801" i="93"/>
  <c r="GJ801" i="93"/>
  <c r="GZ801" i="93"/>
  <c r="GQ804" i="93"/>
  <c r="JP769" i="93"/>
  <c r="JQ777" i="93"/>
  <c r="JN781" i="93"/>
  <c r="JO785" i="93"/>
  <c r="JO789" i="93"/>
  <c r="JN793" i="93"/>
  <c r="JL797" i="93"/>
  <c r="JG801" i="93"/>
  <c r="DW770" i="93"/>
  <c r="Z778" i="93"/>
  <c r="DI778" i="93"/>
  <c r="ET778" i="93"/>
  <c r="IU778" i="93"/>
  <c r="DY782" i="93"/>
  <c r="EL786" i="93"/>
  <c r="CZ790" i="93"/>
  <c r="AK798" i="93"/>
  <c r="BV770" i="93"/>
  <c r="IO770" i="93"/>
  <c r="AE770" i="93"/>
  <c r="CC770" i="93"/>
  <c r="EL770" i="93"/>
  <c r="IU770" i="93"/>
  <c r="CF774" i="93"/>
  <c r="BN778" i="93"/>
  <c r="CU778" i="93"/>
  <c r="EA778" i="93"/>
  <c r="AA782" i="93"/>
  <c r="CZ782" i="93"/>
  <c r="IS782" i="93"/>
  <c r="W786" i="93"/>
  <c r="DB786" i="93"/>
  <c r="AW790" i="93"/>
  <c r="DW793" i="93"/>
  <c r="DC793" i="93"/>
  <c r="CY793" i="93"/>
  <c r="CU793" i="93"/>
  <c r="BW793" i="93"/>
  <c r="BK793" i="93"/>
  <c r="EB797" i="93"/>
  <c r="DB797" i="93"/>
  <c r="CV797" i="93"/>
  <c r="CL797" i="93"/>
  <c r="BV797" i="93"/>
  <c r="AE797" i="93"/>
  <c r="DF797" i="93"/>
  <c r="CZ797" i="93"/>
  <c r="CU797" i="93"/>
  <c r="BO797" i="93"/>
  <c r="CT801" i="93"/>
  <c r="DC801" i="93"/>
  <c r="BV801" i="93"/>
  <c r="BA770" i="93"/>
  <c r="CP770" i="93"/>
  <c r="IH770" i="93"/>
  <c r="CT774" i="93"/>
  <c r="CC778" i="93"/>
  <c r="CB782" i="93"/>
  <c r="BY786" i="93"/>
  <c r="Y770" i="93"/>
  <c r="AK778" i="93"/>
  <c r="CM778" i="93"/>
  <c r="CQ782" i="93"/>
  <c r="CP786" i="93"/>
  <c r="CR794" i="93"/>
  <c r="BO770" i="93"/>
  <c r="AT778" i="93"/>
  <c r="BC782" i="93"/>
  <c r="BI786" i="93"/>
  <c r="BI770" i="93"/>
  <c r="AT770" i="93"/>
  <c r="CW770" i="93"/>
  <c r="AW771" i="93"/>
  <c r="BE771" i="93"/>
  <c r="BM771" i="93"/>
  <c r="CU771" i="93"/>
  <c r="BC778" i="93"/>
  <c r="AT779" i="93"/>
  <c r="BE779" i="93"/>
  <c r="BO779" i="93"/>
  <c r="CV779" i="93"/>
  <c r="BQ782" i="93"/>
  <c r="AS783" i="93"/>
  <c r="BD783" i="93"/>
  <c r="BN783" i="93"/>
  <c r="CT783" i="93"/>
  <c r="CX783" i="93"/>
  <c r="BA787" i="93"/>
  <c r="BK787" i="93"/>
  <c r="CW787" i="93"/>
  <c r="AU791" i="93"/>
  <c r="BJ791" i="93"/>
  <c r="CU791"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93" i="93"/>
  <c r="JH781" i="93"/>
  <c r="JQ785" i="93"/>
  <c r="JQ789" i="93"/>
  <c r="JD797" i="93"/>
  <c r="JO797"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N769" i="93"/>
  <c r="JC777" i="93"/>
  <c r="JG777" i="93"/>
  <c r="JK777" i="93"/>
  <c r="JO777" i="93"/>
  <c r="JD781" i="93"/>
  <c r="JL781" i="93"/>
  <c r="JP781" i="93"/>
  <c r="JE785" i="93"/>
  <c r="JI785" i="93"/>
  <c r="JM785" i="93"/>
  <c r="JE789" i="93"/>
  <c r="JI789" i="93"/>
  <c r="JM789" i="93"/>
  <c r="JD793" i="93"/>
  <c r="JH793" i="93"/>
  <c r="JL793" i="93"/>
  <c r="JP793" i="93"/>
  <c r="JJ797" i="93"/>
  <c r="JO769" i="93"/>
  <c r="JH777" i="93"/>
  <c r="JH769" i="93"/>
  <c r="JE777" i="93"/>
  <c r="JI777" i="93"/>
  <c r="JM777" i="93"/>
  <c r="JF781" i="93"/>
  <c r="JJ781" i="93"/>
  <c r="A785" i="93"/>
  <c r="JC785" i="93"/>
  <c r="JG785" i="93"/>
  <c r="JK785" i="93"/>
  <c r="JC789" i="93"/>
  <c r="JG789" i="93"/>
  <c r="JK789" i="93"/>
  <c r="JF793" i="93"/>
  <c r="JJ793" i="93"/>
  <c r="JG797" i="93"/>
  <c r="JB770" i="93"/>
  <c r="IQ770" i="93"/>
  <c r="IL770" i="93"/>
  <c r="IG770" i="93"/>
  <c r="GZ770" i="93"/>
  <c r="EZ770" i="93"/>
  <c r="EP770" i="93"/>
  <c r="EK770" i="93"/>
  <c r="EE770" i="93"/>
  <c r="DU770" i="93"/>
  <c r="DO770" i="93"/>
  <c r="DJ770" i="93"/>
  <c r="CZ770" i="93"/>
  <c r="CV770" i="93"/>
  <c r="CQ770" i="93"/>
  <c r="CL770" i="93"/>
  <c r="CG770" i="93"/>
  <c r="CA770" i="93"/>
  <c r="BW770" i="93"/>
  <c r="BR770" i="93"/>
  <c r="BM770" i="93"/>
  <c r="BG770" i="93"/>
  <c r="BB770" i="93"/>
  <c r="AW770" i="93"/>
  <c r="AQ770" i="93"/>
  <c r="AL770" i="93"/>
  <c r="AG770" i="93"/>
  <c r="AA770" i="93"/>
  <c r="GS774" i="93"/>
  <c r="FA774" i="93"/>
  <c r="CC774" i="93"/>
  <c r="B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GG770" i="93"/>
  <c r="II770" i="93"/>
  <c r="IX770" i="93"/>
  <c r="BG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EA770" i="93"/>
  <c r="EH770" i="93"/>
  <c r="EO770" i="93"/>
  <c r="IK770" i="93"/>
  <c r="IS770" i="93"/>
  <c r="IY770" i="93"/>
  <c r="AM774" i="93"/>
  <c r="BV774" i="93"/>
  <c r="EX774" i="93"/>
  <c r="FX774" i="93"/>
  <c r="AD770" i="93"/>
  <c r="AK770" i="93"/>
  <c r="AS770" i="93"/>
  <c r="AY770" i="93"/>
  <c r="BF770" i="93"/>
  <c r="BN770" i="93"/>
  <c r="BU770" i="93"/>
  <c r="CH770" i="93"/>
  <c r="CO770" i="93"/>
  <c r="CU770" i="93"/>
  <c r="DA770" i="93"/>
  <c r="DG770" i="93"/>
  <c r="DN770" i="93"/>
  <c r="DV770" i="93"/>
  <c r="EC770" i="93"/>
  <c r="EI770" i="93"/>
  <c r="EQ770" i="93"/>
  <c r="EX770" i="93"/>
  <c r="IE770" i="93"/>
  <c r="IM770" i="93"/>
  <c r="IT770" i="93"/>
  <c r="JA770" i="93"/>
  <c r="BQ774" i="93"/>
  <c r="BW774" i="93"/>
  <c r="DC774" i="93"/>
  <c r="EY774" i="93"/>
  <c r="FZ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HM770" i="93"/>
  <c r="IP770" i="93"/>
  <c r="BU774" i="93"/>
  <c r="GR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ID770" i="93"/>
  <c r="AU774" i="93"/>
  <c r="K778" i="93"/>
  <c r="L778" i="93" s="1"/>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IS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O797" i="93"/>
  <c r="DI797" i="93"/>
  <c r="DA797" i="93"/>
  <c r="CW797" i="93"/>
  <c r="CS797" i="93"/>
  <c r="BY797" i="93"/>
  <c r="BU797" i="93"/>
  <c r="JN801" i="93"/>
  <c r="JJ801" i="93"/>
  <c r="JF801" i="93"/>
  <c r="IX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DZ801" i="93"/>
  <c r="DB801" i="93"/>
  <c r="JQ801" i="93"/>
  <c r="JM801" i="93"/>
  <c r="JI801" i="93"/>
  <c r="JE801" i="93"/>
  <c r="IK801" i="93"/>
  <c r="IC801" i="93"/>
  <c r="HY801" i="93"/>
  <c r="HU801" i="93"/>
  <c r="HQ801" i="93"/>
  <c r="JK801" i="93"/>
  <c r="JC801" i="93"/>
  <c r="IU801" i="93"/>
  <c r="HW801" i="93"/>
  <c r="HO801" i="93"/>
  <c r="HI801" i="93"/>
  <c r="HD801" i="93"/>
  <c r="GY801" i="93"/>
  <c r="GS801" i="93"/>
  <c r="GN801" i="93"/>
  <c r="GI801" i="93"/>
  <c r="GC801" i="93"/>
  <c r="FX801" i="93"/>
  <c r="FS801" i="93"/>
  <c r="FM801" i="93"/>
  <c r="FH801" i="93"/>
  <c r="FC801" i="93"/>
  <c r="EW801" i="93"/>
  <c r="DQ801" i="93"/>
  <c r="DA801" i="93"/>
  <c r="CW801" i="93"/>
  <c r="CC801" i="93"/>
  <c r="BY801" i="93"/>
  <c r="BU801" i="93"/>
  <c r="BM801" i="93"/>
  <c r="AS801" i="93"/>
  <c r="JP801" i="93"/>
  <c r="JH801" i="93"/>
  <c r="IB801" i="93"/>
  <c r="HT801" i="93"/>
  <c r="HM801" i="93"/>
  <c r="HH801" i="93"/>
  <c r="HC801" i="93"/>
  <c r="GW801" i="93"/>
  <c r="GR801" i="93"/>
  <c r="GM801" i="93"/>
  <c r="GG801" i="93"/>
  <c r="GB801" i="93"/>
  <c r="FW801" i="93"/>
  <c r="FQ801" i="93"/>
  <c r="FL801" i="93"/>
  <c r="FG801" i="93"/>
  <c r="FA801" i="93"/>
  <c r="EQ801" i="93"/>
  <c r="DP801" i="93"/>
  <c r="CZ801" i="93"/>
  <c r="CV801" i="93"/>
  <c r="CN801" i="93"/>
  <c r="BX801" i="93"/>
  <c r="BT801" i="93"/>
  <c r="AZ801" i="93"/>
  <c r="AB801" i="93"/>
  <c r="AY801" i="93"/>
  <c r="BW801" i="93"/>
  <c r="CM801" i="93"/>
  <c r="CU801" i="93"/>
  <c r="DY801" i="93"/>
  <c r="FE801" i="93"/>
  <c r="FP801" i="93"/>
  <c r="GA801" i="93"/>
  <c r="GK801" i="93"/>
  <c r="GV801" i="93"/>
  <c r="HG801" i="93"/>
  <c r="HS801" i="93"/>
  <c r="JO801" i="93"/>
  <c r="IZ770" i="93"/>
  <c r="IL804" i="93"/>
  <c r="EL804" i="93"/>
  <c r="DR804" i="93"/>
  <c r="CH804" i="93"/>
  <c r="BJ804" i="93"/>
  <c r="AP804" i="93"/>
  <c r="IV804" i="93"/>
  <c r="EO804" i="93"/>
  <c r="DO804" i="93"/>
  <c r="CB804" i="93"/>
  <c r="AW804" i="93"/>
  <c r="W804" i="93"/>
  <c r="EK804" i="93"/>
  <c r="CN804" i="93"/>
  <c r="AS804" i="93"/>
  <c r="IG804" i="93"/>
  <c r="DE804" i="93"/>
  <c r="AU804" i="93"/>
  <c r="EF804" i="93"/>
  <c r="BQ804" i="93"/>
  <c r="IU804" i="93"/>
  <c r="CA804" i="93"/>
  <c r="IR804" i="93"/>
  <c r="BK804" i="93"/>
  <c r="IS800" i="93"/>
  <c r="EO800" i="93"/>
  <c r="DU800" i="93"/>
  <c r="CO800" i="93"/>
  <c r="BM800" i="93"/>
  <c r="AS800" i="93"/>
  <c r="IX800" i="93"/>
  <c r="EM800" i="93"/>
  <c r="DL800" i="93"/>
  <c r="BK800" i="93"/>
  <c r="AJ800" i="93"/>
  <c r="IJ800" i="93"/>
  <c r="DP800" i="93"/>
  <c r="BS800" i="93"/>
  <c r="AI800" i="93"/>
  <c r="EF800" i="93"/>
  <c r="CF800" i="93"/>
  <c r="AA800" i="93"/>
  <c r="ED800" i="93"/>
  <c r="BT800" i="93"/>
  <c r="X800" i="93"/>
  <c r="EA800" i="93"/>
  <c r="BR800" i="93"/>
  <c r="W800" i="93"/>
  <c r="IG796" i="93"/>
  <c r="EC796" i="93"/>
  <c r="DI796" i="93"/>
  <c r="CC796" i="93"/>
  <c r="BA796" i="93"/>
  <c r="AG796" i="93"/>
  <c r="IQ796" i="93"/>
  <c r="EL796" i="93"/>
  <c r="DK796" i="93"/>
  <c r="BT796" i="93"/>
  <c r="AT796" i="93"/>
  <c r="IZ796" i="93"/>
  <c r="EE796" i="93"/>
  <c r="CF796" i="93"/>
  <c r="AU796" i="93"/>
  <c r="IJ796" i="93"/>
  <c r="DW796" i="93"/>
  <c r="BN796" i="93"/>
  <c r="W796" i="93"/>
  <c r="EI796" i="93"/>
  <c r="CQ796" i="93"/>
  <c r="AX796" i="93"/>
  <c r="IW792" i="93"/>
  <c r="ES792" i="93"/>
  <c r="DU792" i="93"/>
  <c r="CS792" i="93"/>
  <c r="BQ792" i="93"/>
  <c r="AS792" i="93"/>
  <c r="Y792" i="93"/>
  <c r="ER792" i="93"/>
  <c r="DL792" i="93"/>
  <c r="BP792" i="93"/>
  <c r="AP792" i="93"/>
  <c r="II792" i="93"/>
  <c r="DO792" i="93"/>
  <c r="BR792" i="93"/>
  <c r="AA792" i="93"/>
  <c r="EV792" i="93"/>
  <c r="DN792" i="93"/>
  <c r="BH792" i="93"/>
  <c r="X792" i="93"/>
  <c r="EU792" i="93"/>
  <c r="DD792" i="93"/>
  <c r="BN792" i="93"/>
  <c r="AD792" i="93"/>
  <c r="II788" i="93"/>
  <c r="EI788" i="93"/>
  <c r="DO788" i="93"/>
  <c r="CE788" i="93"/>
  <c r="BG788" i="93"/>
  <c r="AM788" i="93"/>
  <c r="IW788" i="93"/>
  <c r="EP788" i="93"/>
  <c r="DP788" i="93"/>
  <c r="CC788" i="93"/>
  <c r="AX788" i="93"/>
  <c r="X788" i="93"/>
  <c r="ET788" i="93"/>
  <c r="DT788" i="93"/>
  <c r="CL788" i="93"/>
  <c r="BB788" i="93"/>
  <c r="AB788" i="93"/>
  <c r="ID788" i="93"/>
  <c r="EC788" i="93"/>
  <c r="DH788" i="93"/>
  <c r="BZ788" i="93"/>
  <c r="BA788" i="93"/>
  <c r="AF788" i="93"/>
  <c r="IU784" i="93"/>
  <c r="IE784" i="93"/>
  <c r="EI784" i="93"/>
  <c r="DS784" i="93"/>
  <c r="CQ784" i="93"/>
  <c r="CA784" i="93"/>
  <c r="BG784" i="93"/>
  <c r="AQ784" i="93"/>
  <c r="AA784" i="93"/>
  <c r="IN784" i="93"/>
  <c r="EG784" i="93"/>
  <c r="DL784" i="93"/>
  <c r="CD784" i="93"/>
  <c r="AZ784" i="93"/>
  <c r="AD784" i="93"/>
  <c r="IR784" i="93"/>
  <c r="EP784" i="93"/>
  <c r="DU784" i="93"/>
  <c r="CS784" i="93"/>
  <c r="BT784" i="93"/>
  <c r="AX784" i="93"/>
  <c r="AC784" i="93"/>
  <c r="IP784" i="93"/>
  <c r="EO784" i="93"/>
  <c r="DT784" i="93"/>
  <c r="CR784" i="93"/>
  <c r="BR784" i="93"/>
  <c r="AW784" i="93"/>
  <c r="AB784" i="93"/>
  <c r="IR780" i="93"/>
  <c r="EV780" i="93"/>
  <c r="EF780" i="93"/>
  <c r="DP780" i="93"/>
  <c r="CR780" i="93"/>
  <c r="CB780" i="93"/>
  <c r="BH780" i="93"/>
  <c r="AR780" i="93"/>
  <c r="AB780" i="93"/>
  <c r="IQ780" i="93"/>
  <c r="EP780" i="93"/>
  <c r="DU780" i="93"/>
  <c r="CQ780" i="93"/>
  <c r="BR780" i="93"/>
  <c r="AW780" i="93"/>
  <c r="AA780" i="93"/>
  <c r="IP780" i="93"/>
  <c r="EO780" i="93"/>
  <c r="DS780" i="93"/>
  <c r="CK780" i="93"/>
  <c r="BK780" i="93"/>
  <c r="AP780" i="93"/>
  <c r="IY780" i="93"/>
  <c r="ID780" i="93"/>
  <c r="EC780" i="93"/>
  <c r="DG780" i="93"/>
  <c r="BO780" i="93"/>
  <c r="AT780" i="93"/>
  <c r="Y780" i="93"/>
  <c r="IN776" i="93"/>
  <c r="ER776" i="93"/>
  <c r="EB776" i="93"/>
  <c r="DL776" i="93"/>
  <c r="CN776" i="93"/>
  <c r="BT776" i="93"/>
  <c r="BD776" i="93"/>
  <c r="AN776" i="93"/>
  <c r="X776" i="93"/>
  <c r="IL776" i="93"/>
  <c r="EK776" i="93"/>
  <c r="DO776" i="93"/>
  <c r="CL776" i="93"/>
  <c r="BM776" i="93"/>
  <c r="AQ776" i="93"/>
  <c r="A776" i="93"/>
  <c r="IK776" i="93"/>
  <c r="EI776" i="93"/>
  <c r="DN776" i="93"/>
  <c r="CE776" i="93"/>
  <c r="BF776" i="93"/>
  <c r="AK776" i="93"/>
  <c r="IT776" i="93"/>
  <c r="ES776" i="93"/>
  <c r="DW776" i="93"/>
  <c r="CO776" i="93"/>
  <c r="BJ776" i="93"/>
  <c r="AO776" i="93"/>
  <c r="IU772" i="93"/>
  <c r="DS772" i="93"/>
  <c r="CE772" i="93"/>
  <c r="BG772" i="93"/>
  <c r="AQ772" i="93"/>
  <c r="AA772" i="93"/>
  <c r="IH772" i="93"/>
  <c r="CP772" i="93"/>
  <c r="BZ772" i="93"/>
  <c r="BF772" i="93"/>
  <c r="AP772" i="93"/>
  <c r="Z772" i="93"/>
  <c r="EG772" i="93"/>
  <c r="CG772" i="93"/>
  <c r="BI772" i="93"/>
  <c r="AS772" i="93"/>
  <c r="AC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BD772" i="93"/>
  <c r="BI776" i="93"/>
  <c r="IM776" i="93"/>
  <c r="CH780" i="93"/>
  <c r="AK784" i="93"/>
  <c r="EN784" i="93"/>
  <c r="DQ788" i="93"/>
  <c r="BL792" i="93"/>
  <c r="IJ792" i="93"/>
  <c r="DZ796" i="93"/>
  <c r="IN800" i="93"/>
  <c r="BO768" i="93"/>
  <c r="CE768" i="93"/>
  <c r="DO768" i="93"/>
  <c r="EE768" i="93"/>
  <c r="EU768" i="93"/>
  <c r="IM768" i="93"/>
  <c r="CN772" i="93"/>
  <c r="BN776" i="93"/>
  <c r="IS776" i="93"/>
  <c r="CM780" i="93"/>
  <c r="AP784" i="93"/>
  <c r="ES784" i="93"/>
  <c r="CD788" i="93"/>
  <c r="AQ792" i="93"/>
  <c r="ET792" i="93"/>
  <c r="CI796" i="93"/>
  <c r="BG800" i="93"/>
  <c r="IV800" i="93"/>
  <c r="BC768" i="93"/>
  <c r="BS768" i="93"/>
  <c r="CI768" i="93"/>
  <c r="DS768" i="93"/>
  <c r="EI768" i="93"/>
  <c r="IQ768" i="93"/>
  <c r="BL772" i="93"/>
  <c r="AC776" i="93"/>
  <c r="DF776" i="93"/>
  <c r="BC780" i="93"/>
  <c r="IH780" i="93"/>
  <c r="CK784" i="93"/>
  <c r="AO788" i="93"/>
  <c r="EB788" i="93"/>
  <c r="DX792" i="93"/>
  <c r="CP796" i="93"/>
  <c r="AD800" i="93"/>
  <c r="BI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F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H774" i="93"/>
  <c r="CH774" i="93"/>
  <c r="IW774"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C21" i="90" s="1"/>
  <c r="G49" i="89"/>
  <c r="D977" i="93"/>
  <c r="D975" i="93"/>
  <c r="D971" i="93"/>
  <c r="D972" i="93" s="1"/>
  <c r="E969" i="93"/>
  <c r="F969"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M737" i="93"/>
  <c r="L737" i="93"/>
  <c r="K737" i="93"/>
  <c r="J737" i="93"/>
  <c r="I737" i="93"/>
  <c r="M729" i="93"/>
  <c r="M728" i="93"/>
  <c r="M727" i="93"/>
  <c r="M726" i="93"/>
  <c r="M725" i="93"/>
  <c r="M724" i="93"/>
  <c r="M723" i="93"/>
  <c r="M730" i="93" s="1"/>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8" i="93"/>
  <c r="K578" i="93"/>
  <c r="J579" i="93"/>
  <c r="J582" i="93" s="1"/>
  <c r="J586" i="93" s="1"/>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J566" i="93" s="1"/>
  <c r="H565" i="93"/>
  <c r="G565" i="93"/>
  <c r="H564" i="93"/>
  <c r="G564" i="93"/>
  <c r="G566" i="93" s="1"/>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T549" i="93"/>
  <c r="S549" i="93"/>
  <c r="Q549" i="93"/>
  <c r="P549" i="93"/>
  <c r="N549" i="93"/>
  <c r="M549" i="93"/>
  <c r="K549" i="93"/>
  <c r="J549" i="93"/>
  <c r="T546" i="93"/>
  <c r="S546" i="93"/>
  <c r="T545" i="93"/>
  <c r="S545" i="93"/>
  <c r="T544" i="93"/>
  <c r="S544" i="93"/>
  <c r="T543" i="93"/>
  <c r="S543" i="93"/>
  <c r="G544" i="93"/>
  <c r="H544" i="93"/>
  <c r="G545" i="93"/>
  <c r="H545" i="93"/>
  <c r="G543"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U499" i="93" s="1"/>
  <c r="H499" i="93"/>
  <c r="H556" i="93"/>
  <c r="G556" i="93"/>
  <c r="H551" i="93"/>
  <c r="G551" i="93"/>
  <c r="H549" i="93"/>
  <c r="H543" i="93"/>
  <c r="F561" i="93"/>
  <c r="E561" i="93"/>
  <c r="D561" i="93"/>
  <c r="C561" i="93"/>
  <c r="F546" i="93"/>
  <c r="E546" i="93"/>
  <c r="D546" i="93"/>
  <c r="C546" i="93"/>
  <c r="U546" i="93" s="1"/>
  <c r="A546" i="93"/>
  <c r="F539" i="93"/>
  <c r="E539" i="93"/>
  <c r="D539" i="93"/>
  <c r="C539" i="93"/>
  <c r="F526" i="93"/>
  <c r="E526" i="93"/>
  <c r="D526" i="93"/>
  <c r="C526" i="93"/>
  <c r="H532" i="93"/>
  <c r="G532" i="93"/>
  <c r="H521" i="93"/>
  <c r="G521" i="93"/>
  <c r="F499" i="93"/>
  <c r="E499" i="93"/>
  <c r="D499" i="93"/>
  <c r="C499" i="93"/>
  <c r="A499" i="93" s="1"/>
  <c r="F498" i="93"/>
  <c r="E498" i="93"/>
  <c r="D498" i="93"/>
  <c r="C498" i="93"/>
  <c r="F512" i="93"/>
  <c r="E512" i="93"/>
  <c r="D512" i="93"/>
  <c r="C512" i="93"/>
  <c r="E518" i="93"/>
  <c r="H515" i="93"/>
  <c r="G515"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M474"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9" i="93" s="1"/>
  <c r="M465" i="93"/>
  <c r="K468" i="93"/>
  <c r="J468" i="93"/>
  <c r="K467" i="93"/>
  <c r="J467" i="93"/>
  <c r="K466" i="93"/>
  <c r="J465" i="93"/>
  <c r="J466" i="93"/>
  <c r="K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A450" i="93" s="1"/>
  <c r="H455" i="93"/>
  <c r="G455" i="93"/>
  <c r="H444" i="93"/>
  <c r="G444" i="93"/>
  <c r="E517" i="93"/>
  <c r="I58" i="68"/>
  <c r="J602" i="93"/>
  <c r="W597" i="93"/>
  <c r="W584" i="93"/>
  <c r="V582" i="93"/>
  <c r="W574" i="93"/>
  <c r="W573" i="93"/>
  <c r="CY10" i="75"/>
  <c r="CY11" i="75"/>
  <c r="CY12" i="75"/>
  <c r="CY13" i="75"/>
  <c r="CY14" i="75"/>
  <c r="CY15" i="75"/>
  <c r="CY16" i="75"/>
  <c r="CY17" i="75"/>
  <c r="CY18" i="75"/>
  <c r="CZ10" i="75"/>
  <c r="CZ11" i="75"/>
  <c r="CZ12" i="75"/>
  <c r="CZ13" i="75"/>
  <c r="CZ14" i="75"/>
  <c r="CZ15" i="75"/>
  <c r="CZ16" i="75"/>
  <c r="CZ17" i="75"/>
  <c r="CZ18" i="75"/>
  <c r="DA10" i="75"/>
  <c r="DA11" i="75"/>
  <c r="DA12" i="75"/>
  <c r="DA13" i="75"/>
  <c r="DA14" i="75"/>
  <c r="DA15" i="75"/>
  <c r="DA16" i="75"/>
  <c r="DA17" i="75"/>
  <c r="DA18" i="75"/>
  <c r="DB10" i="75"/>
  <c r="DB11" i="75"/>
  <c r="DB12" i="75"/>
  <c r="DB13" i="75"/>
  <c r="DB14" i="75"/>
  <c r="DB15" i="75"/>
  <c r="DB16" i="75"/>
  <c r="DB17" i="75"/>
  <c r="DB18" i="75"/>
  <c r="DC10" i="75"/>
  <c r="DC11" i="75"/>
  <c r="DC12" i="75"/>
  <c r="DC13" i="75"/>
  <c r="DC14" i="75"/>
  <c r="DC15" i="75"/>
  <c r="DC16" i="75"/>
  <c r="DC17" i="75"/>
  <c r="DC18" i="75"/>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DD10" i="75"/>
  <c r="DD11" i="75"/>
  <c r="DD12" i="75"/>
  <c r="DD13" i="75"/>
  <c r="DD14" i="75"/>
  <c r="DD15" i="75"/>
  <c r="DD16" i="75"/>
  <c r="DD17" i="75"/>
  <c r="DD18" i="75"/>
  <c r="DI10" i="75"/>
  <c r="DI11" i="75"/>
  <c r="DI12" i="75"/>
  <c r="DI13" i="75"/>
  <c r="DI14" i="75"/>
  <c r="DI15" i="75"/>
  <c r="DI16" i="75"/>
  <c r="DI17" i="75"/>
  <c r="DI18" i="75"/>
  <c r="DN10" i="75"/>
  <c r="DN11" i="75"/>
  <c r="DN12" i="75"/>
  <c r="DN13" i="75"/>
  <c r="DN14" i="75"/>
  <c r="DN15" i="75"/>
  <c r="DN16" i="75"/>
  <c r="DN17" i="75"/>
  <c r="DN18" i="75"/>
  <c r="DE10" i="75"/>
  <c r="DE11" i="75"/>
  <c r="DE12" i="75"/>
  <c r="DE13" i="75"/>
  <c r="DE14" i="75"/>
  <c r="DE15" i="75"/>
  <c r="DE16" i="75"/>
  <c r="DE17" i="75"/>
  <c r="DE18" i="75"/>
  <c r="DJ10" i="75"/>
  <c r="DJ11" i="75"/>
  <c r="DJ12" i="75"/>
  <c r="DJ13" i="75"/>
  <c r="DJ14" i="75"/>
  <c r="DJ15" i="75"/>
  <c r="DJ16" i="75"/>
  <c r="DJ17" i="75"/>
  <c r="DJ18" i="75"/>
  <c r="DO10" i="75"/>
  <c r="DO11" i="75"/>
  <c r="DO12" i="75"/>
  <c r="DO13" i="75"/>
  <c r="DO14" i="75"/>
  <c r="DO15" i="75"/>
  <c r="DO16" i="75"/>
  <c r="DO17" i="75"/>
  <c r="DO18" i="75"/>
  <c r="DF10" i="75"/>
  <c r="DF11" i="75"/>
  <c r="DF12" i="75"/>
  <c r="DF13" i="75"/>
  <c r="DF14" i="75"/>
  <c r="DF15" i="75"/>
  <c r="DF16" i="75"/>
  <c r="DF17" i="75"/>
  <c r="DF18" i="75"/>
  <c r="DK10" i="75"/>
  <c r="DK11" i="75"/>
  <c r="DK12" i="75"/>
  <c r="DK13" i="75"/>
  <c r="DK14" i="75"/>
  <c r="DK15" i="75"/>
  <c r="DK16" i="75"/>
  <c r="DK17" i="75"/>
  <c r="DK18" i="75"/>
  <c r="DP10" i="75"/>
  <c r="DP11" i="75"/>
  <c r="DP12" i="75"/>
  <c r="DP13" i="75"/>
  <c r="DP14" i="75"/>
  <c r="DP15" i="75"/>
  <c r="DP16" i="75"/>
  <c r="DP17" i="75"/>
  <c r="DP18" i="75"/>
  <c r="DG10" i="75"/>
  <c r="DG11" i="75"/>
  <c r="DG12" i="75"/>
  <c r="DG13" i="75"/>
  <c r="DG14" i="75"/>
  <c r="DG15" i="75"/>
  <c r="DG16" i="75"/>
  <c r="DG17" i="75"/>
  <c r="DG18" i="75"/>
  <c r="DL10" i="75"/>
  <c r="DL11" i="75"/>
  <c r="DL12" i="75"/>
  <c r="DL13" i="75"/>
  <c r="DL14" i="75"/>
  <c r="DL15" i="75"/>
  <c r="DL16" i="75"/>
  <c r="DL17" i="75"/>
  <c r="DL18" i="75"/>
  <c r="DQ10" i="75"/>
  <c r="DQ11" i="75"/>
  <c r="DQ12" i="75"/>
  <c r="DQ13" i="75"/>
  <c r="DQ14" i="75"/>
  <c r="DQ15" i="75"/>
  <c r="DQ16" i="75"/>
  <c r="DQ17" i="75"/>
  <c r="DQ18" i="75"/>
  <c r="DH10" i="75"/>
  <c r="DH11" i="75"/>
  <c r="DH12" i="75"/>
  <c r="DH13" i="75"/>
  <c r="DH14" i="75"/>
  <c r="DH15" i="75"/>
  <c r="DH16" i="75"/>
  <c r="DH17" i="75"/>
  <c r="DH18" i="75"/>
  <c r="DM10" i="75"/>
  <c r="DM11" i="75"/>
  <c r="DM12" i="75"/>
  <c r="DM13" i="75"/>
  <c r="DM14" i="75"/>
  <c r="DM15" i="75"/>
  <c r="DM16" i="75"/>
  <c r="DM17" i="75"/>
  <c r="DM18" i="75"/>
  <c r="DR10" i="75"/>
  <c r="DR11" i="75"/>
  <c r="DR12" i="75"/>
  <c r="DR13" i="75"/>
  <c r="DR14" i="75"/>
  <c r="DR15" i="75"/>
  <c r="DR16" i="75"/>
  <c r="DR17" i="75"/>
  <c r="DR18" i="75"/>
  <c r="DS10" i="75"/>
  <c r="DS11" i="75"/>
  <c r="DS12" i="75"/>
  <c r="DS13" i="75"/>
  <c r="DS14" i="75"/>
  <c r="DS15" i="75"/>
  <c r="DS16" i="75"/>
  <c r="DS17" i="75"/>
  <c r="DS18" i="75"/>
  <c r="DX10" i="75"/>
  <c r="DX11" i="75"/>
  <c r="DX12" i="75"/>
  <c r="DX13" i="75"/>
  <c r="DX14" i="75"/>
  <c r="DX15" i="75"/>
  <c r="DX16" i="75"/>
  <c r="DX17" i="75"/>
  <c r="DX18" i="75"/>
  <c r="EC10" i="75"/>
  <c r="EC11" i="75"/>
  <c r="EC12" i="75"/>
  <c r="EC13" i="75"/>
  <c r="EC14" i="75"/>
  <c r="EC15" i="75"/>
  <c r="EC16" i="75"/>
  <c r="EC17" i="75"/>
  <c r="EC18" i="75"/>
  <c r="DT10" i="75"/>
  <c r="DT11" i="75"/>
  <c r="DT12" i="75"/>
  <c r="DT13" i="75"/>
  <c r="DT14" i="75"/>
  <c r="DT15" i="75"/>
  <c r="DT16" i="75"/>
  <c r="DT17" i="75"/>
  <c r="DT18" i="75"/>
  <c r="DY10" i="75"/>
  <c r="DY11" i="75"/>
  <c r="DY12" i="75"/>
  <c r="DY13" i="75"/>
  <c r="DY14" i="75"/>
  <c r="DY15" i="75"/>
  <c r="DY16" i="75"/>
  <c r="DY17" i="75"/>
  <c r="DY18" i="75"/>
  <c r="ED10" i="75"/>
  <c r="ED11" i="75"/>
  <c r="ED12" i="75"/>
  <c r="ED13" i="75"/>
  <c r="ED14" i="75"/>
  <c r="ED15" i="75"/>
  <c r="ED16" i="75"/>
  <c r="ED17" i="75"/>
  <c r="ED18" i="75"/>
  <c r="DU10" i="75"/>
  <c r="DU11" i="75"/>
  <c r="DU12" i="75"/>
  <c r="DU13" i="75"/>
  <c r="DU14" i="75"/>
  <c r="DU15" i="75"/>
  <c r="DU16" i="75"/>
  <c r="DU17" i="75"/>
  <c r="DU18" i="75"/>
  <c r="DZ10" i="75"/>
  <c r="DZ11" i="75"/>
  <c r="DZ12" i="75"/>
  <c r="DZ13" i="75"/>
  <c r="DZ14" i="75"/>
  <c r="DZ15" i="75"/>
  <c r="DZ16" i="75"/>
  <c r="DZ17" i="75"/>
  <c r="DZ18" i="75"/>
  <c r="EE10" i="75"/>
  <c r="EE11" i="75"/>
  <c r="EE12" i="75"/>
  <c r="EE13" i="75"/>
  <c r="EE14" i="75"/>
  <c r="EE15" i="75"/>
  <c r="EE16" i="75"/>
  <c r="EE17" i="75"/>
  <c r="EE18" i="75"/>
  <c r="DV10" i="75"/>
  <c r="DV11" i="75"/>
  <c r="DV12" i="75"/>
  <c r="DV13" i="75"/>
  <c r="DV14" i="75"/>
  <c r="DV15" i="75"/>
  <c r="DV16" i="75"/>
  <c r="DV17" i="75"/>
  <c r="DV18" i="75"/>
  <c r="EA10" i="75"/>
  <c r="EA11" i="75"/>
  <c r="EA12" i="75"/>
  <c r="EA13" i="75"/>
  <c r="EA14" i="75"/>
  <c r="EA15" i="75"/>
  <c r="EA16" i="75"/>
  <c r="EA17" i="75"/>
  <c r="EA18" i="75"/>
  <c r="EF10" i="75"/>
  <c r="EF11" i="75"/>
  <c r="EF12" i="75"/>
  <c r="EF13" i="75"/>
  <c r="EF14" i="75"/>
  <c r="EF15" i="75"/>
  <c r="EF16" i="75"/>
  <c r="EF17" i="75"/>
  <c r="EF18" i="75"/>
  <c r="DW10" i="75"/>
  <c r="DW11" i="75"/>
  <c r="DW12" i="75"/>
  <c r="DW13" i="75"/>
  <c r="DW14" i="75"/>
  <c r="DW15" i="75"/>
  <c r="DW16" i="75"/>
  <c r="DW17" i="75"/>
  <c r="DW18" i="75"/>
  <c r="EB10" i="75"/>
  <c r="EB11" i="75"/>
  <c r="EB12" i="75"/>
  <c r="EB13" i="75"/>
  <c r="EB14" i="75"/>
  <c r="EB15" i="75"/>
  <c r="EB16" i="75"/>
  <c r="EB17" i="75"/>
  <c r="EB18" i="75"/>
  <c r="EG10" i="75"/>
  <c r="EG11" i="75"/>
  <c r="EG12" i="75"/>
  <c r="EG13" i="75"/>
  <c r="EG14" i="75"/>
  <c r="EG15" i="75"/>
  <c r="EG16" i="75"/>
  <c r="EG17" i="75"/>
  <c r="EG18" i="75"/>
  <c r="EH10" i="75"/>
  <c r="EH11" i="75"/>
  <c r="EH12" i="75"/>
  <c r="EH13" i="75"/>
  <c r="EH14" i="75"/>
  <c r="EH15" i="75"/>
  <c r="EH16" i="75"/>
  <c r="EH17" i="75"/>
  <c r="EH18" i="75"/>
  <c r="EM10" i="75"/>
  <c r="EM11" i="75"/>
  <c r="EM12" i="75"/>
  <c r="EM13" i="75"/>
  <c r="EM14" i="75"/>
  <c r="EM15" i="75"/>
  <c r="EM16" i="75"/>
  <c r="EM17" i="75"/>
  <c r="EM18" i="75"/>
  <c r="ER10" i="75"/>
  <c r="ER11" i="75"/>
  <c r="ER12" i="75"/>
  <c r="ER13" i="75"/>
  <c r="ER14" i="75"/>
  <c r="ER15" i="75"/>
  <c r="ER16" i="75"/>
  <c r="ER17" i="75"/>
  <c r="ER18" i="75"/>
  <c r="EI10" i="75"/>
  <c r="EI11" i="75"/>
  <c r="EI12" i="75"/>
  <c r="EI13" i="75"/>
  <c r="EI14" i="75"/>
  <c r="EI15" i="75"/>
  <c r="EI16" i="75"/>
  <c r="EI17" i="75"/>
  <c r="EI18" i="75"/>
  <c r="EN10" i="75"/>
  <c r="EN11" i="75"/>
  <c r="EN12" i="75"/>
  <c r="EN13" i="75"/>
  <c r="EN14" i="75"/>
  <c r="EN15" i="75"/>
  <c r="EN16" i="75"/>
  <c r="EN17" i="75"/>
  <c r="EN18" i="75"/>
  <c r="ES10" i="75"/>
  <c r="ES11" i="75"/>
  <c r="ES12" i="75"/>
  <c r="ES13" i="75"/>
  <c r="ES14" i="75"/>
  <c r="ES15" i="75"/>
  <c r="ES16" i="75"/>
  <c r="ES17" i="75"/>
  <c r="ES18" i="75"/>
  <c r="EJ10" i="75"/>
  <c r="EJ11" i="75"/>
  <c r="EJ12" i="75"/>
  <c r="EJ13" i="75"/>
  <c r="EJ14" i="75"/>
  <c r="EJ15" i="75"/>
  <c r="EJ16" i="75"/>
  <c r="EJ17" i="75"/>
  <c r="EJ18" i="75"/>
  <c r="EO10" i="75"/>
  <c r="EO11" i="75"/>
  <c r="EO12" i="75"/>
  <c r="EO13" i="75"/>
  <c r="EO14" i="75"/>
  <c r="EO15" i="75"/>
  <c r="EO16" i="75"/>
  <c r="EO17" i="75"/>
  <c r="EO18" i="75"/>
  <c r="ET10" i="75"/>
  <c r="ET11" i="75"/>
  <c r="ET12" i="75"/>
  <c r="ET13" i="75"/>
  <c r="ET14" i="75"/>
  <c r="ET15" i="75"/>
  <c r="ET16" i="75"/>
  <c r="ET17" i="75"/>
  <c r="ET18" i="75"/>
  <c r="EK10" i="75"/>
  <c r="EK11" i="75"/>
  <c r="EK12" i="75"/>
  <c r="EK13" i="75"/>
  <c r="EK14" i="75"/>
  <c r="EK15" i="75"/>
  <c r="EK16" i="75"/>
  <c r="EK17" i="75"/>
  <c r="EK18" i="75"/>
  <c r="EP10" i="75"/>
  <c r="EP11" i="75"/>
  <c r="EP12" i="75"/>
  <c r="EP13" i="75"/>
  <c r="EP14" i="75"/>
  <c r="EP15" i="75"/>
  <c r="EP16" i="75"/>
  <c r="EP17" i="75"/>
  <c r="EP18" i="75"/>
  <c r="EU10" i="75"/>
  <c r="EU11" i="75"/>
  <c r="EU12" i="75"/>
  <c r="EU13" i="75"/>
  <c r="EU14" i="75"/>
  <c r="EU15" i="75"/>
  <c r="EU16" i="75"/>
  <c r="EU17" i="75"/>
  <c r="EU18" i="75"/>
  <c r="EL10" i="75"/>
  <c r="EL11" i="75"/>
  <c r="EL12" i="75"/>
  <c r="EL13" i="75"/>
  <c r="EL14" i="75"/>
  <c r="EL15" i="75"/>
  <c r="EL16" i="75"/>
  <c r="EL17" i="75"/>
  <c r="EL18" i="75"/>
  <c r="EQ10" i="75"/>
  <c r="EQ11" i="75"/>
  <c r="EQ12" i="75"/>
  <c r="EQ13" i="75"/>
  <c r="EQ14" i="75"/>
  <c r="EQ15" i="75"/>
  <c r="EQ16" i="75"/>
  <c r="EQ17" i="75"/>
  <c r="EQ18" i="75"/>
  <c r="EV10" i="75"/>
  <c r="EV11" i="75"/>
  <c r="EV12" i="75"/>
  <c r="EV13" i="75"/>
  <c r="EV14" i="75"/>
  <c r="EV15" i="75"/>
  <c r="EV16" i="75"/>
  <c r="EV17" i="75"/>
  <c r="EV18" i="75"/>
  <c r="W482" i="93"/>
  <c r="O482" i="93"/>
  <c r="W476" i="93"/>
  <c r="O476" i="93"/>
  <c r="V474" i="93"/>
  <c r="D473" i="93"/>
  <c r="D472" i="93"/>
  <c r="D471" i="93"/>
  <c r="D474" i="93" s="1"/>
  <c r="W470" i="93"/>
  <c r="O470" i="93"/>
  <c r="V469" i="93"/>
  <c r="W464" i="93"/>
  <c r="O464" i="93"/>
  <c r="V463" i="93"/>
  <c r="M463"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s="1"/>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364" i="93"/>
  <c r="E975" i="93"/>
  <c r="E971" i="93"/>
  <c r="E970"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B10" i="75"/>
  <c r="BB11" i="75"/>
  <c r="BB12" i="75"/>
  <c r="BB13" i="75"/>
  <c r="BB14" i="75"/>
  <c r="BB15" i="75"/>
  <c r="BB16" i="75"/>
  <c r="BB17" i="75"/>
  <c r="BB18" i="75"/>
  <c r="BC10" i="75"/>
  <c r="BC11" i="75"/>
  <c r="BC12" i="75"/>
  <c r="BC13" i="75"/>
  <c r="BC14" i="75"/>
  <c r="BC15" i="75"/>
  <c r="BC16" i="75"/>
  <c r="BC17" i="75"/>
  <c r="BC18" i="75"/>
  <c r="BD10" i="75"/>
  <c r="BD11" i="75"/>
  <c r="BD12" i="75"/>
  <c r="BD13" i="75"/>
  <c r="BD14" i="75"/>
  <c r="BD15" i="75"/>
  <c r="BD16" i="75"/>
  <c r="BD17" i="75"/>
  <c r="BD18" i="75"/>
  <c r="BE10" i="75"/>
  <c r="BE11" i="75"/>
  <c r="BE12" i="75"/>
  <c r="BE13" i="75"/>
  <c r="BE14" i="75"/>
  <c r="BE15" i="75"/>
  <c r="BE16" i="75"/>
  <c r="BE17" i="75"/>
  <c r="BE18" i="75"/>
  <c r="AV10" i="75"/>
  <c r="AV11" i="75"/>
  <c r="AV12" i="75"/>
  <c r="AV13" i="75"/>
  <c r="AV14" i="75"/>
  <c r="AV15" i="75"/>
  <c r="AV16" i="75"/>
  <c r="AV17" i="75"/>
  <c r="AV18" i="75"/>
  <c r="AW10" i="75"/>
  <c r="AW11" i="75"/>
  <c r="AW12" i="75"/>
  <c r="AW13" i="75"/>
  <c r="AW14" i="75"/>
  <c r="AW15" i="75"/>
  <c r="AW16" i="75"/>
  <c r="AW17" i="75"/>
  <c r="AW18" i="75"/>
  <c r="AX10" i="75"/>
  <c r="AX11" i="75"/>
  <c r="AX12" i="75"/>
  <c r="AX13" i="75"/>
  <c r="AX14" i="75"/>
  <c r="AX15" i="75"/>
  <c r="AX16" i="75"/>
  <c r="AX17" i="75"/>
  <c r="AX18" i="75"/>
  <c r="AY10" i="75"/>
  <c r="AY11" i="75"/>
  <c r="AY12" i="75"/>
  <c r="AY13" i="75"/>
  <c r="AY14" i="75"/>
  <c r="AY15" i="75"/>
  <c r="AY16" i="75"/>
  <c r="AY17" i="75"/>
  <c r="AY18" i="75"/>
  <c r="AZ10" i="75"/>
  <c r="AZ11" i="75"/>
  <c r="AZ12" i="75"/>
  <c r="AZ13" i="75"/>
  <c r="AZ14" i="75"/>
  <c r="AZ15" i="75"/>
  <c r="AZ16" i="75"/>
  <c r="AZ17" i="75"/>
  <c r="AZ18" i="75"/>
  <c r="P66" i="93"/>
  <c r="N66" i="93"/>
  <c r="O20" i="93"/>
  <c r="A5" i="93"/>
  <c r="A2" i="93"/>
  <c r="D53" i="92"/>
  <c r="H52" i="92"/>
  <c r="C52" i="92"/>
  <c r="F37" i="72"/>
  <c r="F1591" i="93" s="1"/>
  <c r="A206" i="85"/>
  <c r="A10" i="83"/>
  <c r="I9" i="92"/>
  <c r="G11" i="91"/>
  <c r="F197" i="90"/>
  <c r="F73" i="89"/>
  <c r="E171" i="90" s="1"/>
  <c r="C133" i="90"/>
  <c r="L59" i="85" s="1"/>
  <c r="D101" i="90"/>
  <c r="F75" i="89"/>
  <c r="E183" i="90" s="1"/>
  <c r="F71" i="89"/>
  <c r="E166" i="90" s="1"/>
  <c r="E163" i="90"/>
  <c r="F39" i="89"/>
  <c r="D79" i="90" s="1"/>
  <c r="F30" i="89"/>
  <c r="D62" i="90" s="1"/>
  <c r="D56" i="92" s="1"/>
  <c r="C16" i="90"/>
  <c r="A206" i="90"/>
  <c r="A200" i="90"/>
  <c r="C5" i="90"/>
  <c r="C8" i="84"/>
  <c r="C28" i="90" s="1"/>
  <c r="G5" i="92" s="1"/>
  <c r="E8" i="84"/>
  <c r="H2" i="91" s="1"/>
  <c r="E9" i="89"/>
  <c r="H7" i="92" s="1"/>
  <c r="E50"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B1" i="87"/>
  <c r="D54" i="86"/>
  <c r="E54" i="86"/>
  <c r="F54" i="86"/>
  <c r="G54" i="86"/>
  <c r="H54" i="86"/>
  <c r="C54" i="86"/>
  <c r="G34" i="86"/>
  <c r="H34" i="86"/>
  <c r="I34" i="86"/>
  <c r="F34" i="86"/>
  <c r="D34" i="86"/>
  <c r="E34" i="86"/>
  <c r="C34" i="86"/>
  <c r="D14" i="86"/>
  <c r="E14" i="86"/>
  <c r="F14" i="86"/>
  <c r="G14" i="86"/>
  <c r="H14" i="86"/>
  <c r="I14" i="86"/>
  <c r="C14" i="86"/>
  <c r="C1" i="86"/>
  <c r="D31" i="86"/>
  <c r="H49" i="86"/>
  <c r="E6" i="86"/>
  <c r="K5" i="86" s="1"/>
  <c r="E5" i="86"/>
  <c r="E4" i="86"/>
  <c r="G49" i="86"/>
  <c r="F49" i="86"/>
  <c r="E49" i="86"/>
  <c r="D49" i="86"/>
  <c r="O61" i="85"/>
  <c r="K24" i="88"/>
  <c r="Q61" i="85"/>
  <c r="N61" i="85"/>
  <c r="L61" i="85"/>
  <c r="F103" i="92"/>
  <c r="E96" i="90"/>
  <c r="E92" i="90"/>
  <c r="H4" i="86"/>
  <c r="C25" i="84"/>
  <c r="C29" i="84" s="1"/>
  <c r="E28" i="89"/>
  <c r="E15" i="89"/>
  <c r="K36" i="88"/>
  <c r="D39" i="88" s="1"/>
  <c r="O6" i="86"/>
  <c r="O22" i="86" s="1"/>
  <c r="F12" i="85"/>
  <c r="P1840" i="93"/>
  <c r="O1840" i="93"/>
  <c r="C30" i="84"/>
  <c r="C32" i="84"/>
  <c r="B32" i="84"/>
  <c r="C31" i="84"/>
  <c r="C34" i="84" s="1"/>
  <c r="B31" i="84"/>
  <c r="B25" i="84"/>
  <c r="M11" i="84"/>
  <c r="G130" i="90" s="1"/>
  <c r="E16" i="84"/>
  <c r="F19" i="85" s="1"/>
  <c r="C16" i="84"/>
  <c r="C14" i="84"/>
  <c r="F17" i="85" s="1"/>
  <c r="E11" i="84"/>
  <c r="E57" i="90"/>
  <c r="C11" i="84"/>
  <c r="C57" i="90" s="1"/>
  <c r="H12" i="84"/>
  <c r="C12" i="84"/>
  <c r="K11" i="84"/>
  <c r="D130" i="90" s="1"/>
  <c r="H11" i="84"/>
  <c r="C130" i="90" s="1"/>
  <c r="K10" i="84"/>
  <c r="C146" i="90"/>
  <c r="H10" i="84"/>
  <c r="C144" i="90" s="1"/>
  <c r="C10" i="84"/>
  <c r="C55" i="90" s="1"/>
  <c r="H9" i="84"/>
  <c r="E65" i="89" s="1"/>
  <c r="D14" i="84"/>
  <c r="F102" i="78"/>
  <c r="F101" i="78"/>
  <c r="G6" i="74"/>
  <c r="O12" i="86"/>
  <c r="F101" i="92"/>
  <c r="F95" i="92"/>
  <c r="I65" i="92"/>
  <c r="E184" i="90"/>
  <c r="E81" i="90"/>
  <c r="B18" i="82"/>
  <c r="B38" i="82"/>
  <c r="B32" i="82"/>
  <c r="B35" i="82" s="1"/>
  <c r="B36" i="82" s="1"/>
  <c r="B24" i="82"/>
  <c r="B48" i="82"/>
  <c r="C48" i="82"/>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c r="F32" i="72"/>
  <c r="F1586" i="93" s="1"/>
  <c r="F33" i="72"/>
  <c r="F1587" i="93"/>
  <c r="F34" i="72"/>
  <c r="F1588" i="93" s="1"/>
  <c r="F35" i="72"/>
  <c r="F1589" i="93" s="1"/>
  <c r="F39" i="72"/>
  <c r="F1593" i="93"/>
  <c r="F40" i="72"/>
  <c r="F1594" i="93" s="1"/>
  <c r="F41" i="72"/>
  <c r="F1595" i="93" s="1"/>
  <c r="O8" i="72"/>
  <c r="O1562" i="93" s="1"/>
  <c r="O29" i="72"/>
  <c r="P13" i="72" s="1"/>
  <c r="L137" i="72"/>
  <c r="L119" i="72"/>
  <c r="Q137" i="72"/>
  <c r="Q119" i="72"/>
  <c r="Q126" i="72"/>
  <c r="Q127" i="72"/>
  <c r="Q128" i="72"/>
  <c r="Q125" i="72"/>
  <c r="J113" i="72"/>
  <c r="H83" i="72"/>
  <c r="M441" i="72"/>
  <c r="M6" i="72" s="1"/>
  <c r="P362" i="72"/>
  <c r="P1916" i="93" s="1"/>
  <c r="O362" i="72"/>
  <c r="L362" i="72"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c r="E38" i="72" s="1"/>
  <c r="E1592" i="93" s="1"/>
  <c r="P324" i="72"/>
  <c r="P1878" i="93" s="1"/>
  <c r="P1997" i="93" s="1"/>
  <c r="G330" i="72"/>
  <c r="G1884" i="93" s="1"/>
  <c r="O325" i="72"/>
  <c r="K308" i="72"/>
  <c r="E35" i="72"/>
  <c r="E1589" i="93" s="1"/>
  <c r="P207" i="72"/>
  <c r="P189" i="72" s="1"/>
  <c r="O207" i="72"/>
  <c r="O1761" i="93" s="1"/>
  <c r="J180" i="72"/>
  <c r="J1734" i="93"/>
  <c r="J181" i="72"/>
  <c r="J1735" i="93" s="1"/>
  <c r="I181" i="72"/>
  <c r="I1735" i="93" s="1"/>
  <c r="I180" i="72"/>
  <c r="I1734" i="93" s="1"/>
  <c r="P1761" i="93"/>
  <c r="O189" i="72"/>
  <c r="O1743" i="93" s="1"/>
  <c r="K229" i="72"/>
  <c r="K1783" i="93" s="1"/>
  <c r="O95" i="72"/>
  <c r="K102" i="72"/>
  <c r="P94" i="72"/>
  <c r="P1648" i="93" s="1"/>
  <c r="O94" i="72"/>
  <c r="E31" i="72" s="1"/>
  <c r="E1585" i="93" s="1"/>
  <c r="P57" i="72"/>
  <c r="M279" i="72" s="1"/>
  <c r="M1833" i="93" s="1"/>
  <c r="O57" i="72"/>
  <c r="E30" i="72" s="1"/>
  <c r="E1584" i="93" s="1"/>
  <c r="O1611" i="93"/>
  <c r="B96" i="78"/>
  <c r="O383" i="73"/>
  <c r="N383" i="73"/>
  <c r="J378" i="73"/>
  <c r="J182" i="72"/>
  <c r="J1736" i="93"/>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M164" i="72"/>
  <c r="O164" i="72" s="1"/>
  <c r="M163" i="72"/>
  <c r="O163" i="72" s="1"/>
  <c r="V17" i="78"/>
  <c r="I215" i="72"/>
  <c r="E68" i="78"/>
  <c r="F68" i="78"/>
  <c r="U3" i="75"/>
  <c r="P115" i="72"/>
  <c r="P111" i="72" s="1"/>
  <c r="G325" i="72"/>
  <c r="G1879" i="93"/>
  <c r="L115" i="72"/>
  <c r="O1669" i="93"/>
  <c r="L1669" i="93" s="1"/>
  <c r="O1665" i="93"/>
  <c r="H86" i="66"/>
  <c r="H84" i="66"/>
  <c r="N84" i="66" s="1"/>
  <c r="H83" i="66"/>
  <c r="D106" i="74"/>
  <c r="C48"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N305" i="73"/>
  <c r="N303" i="73"/>
  <c r="M303" i="73" s="1"/>
  <c r="L303" i="73" s="1"/>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s="1"/>
  <c r="P27" i="81"/>
  <c r="L57" i="73" s="1"/>
  <c r="O27" i="81"/>
  <c r="L56" i="73" s="1"/>
  <c r="N27" i="81"/>
  <c r="R26" i="81"/>
  <c r="L52" i="73" s="1"/>
  <c r="Q26" i="81"/>
  <c r="L51" i="73" s="1"/>
  <c r="P26" i="81"/>
  <c r="L50" i="73" s="1"/>
  <c r="O26" i="81"/>
  <c r="N26" i="81"/>
  <c r="L48" i="73" s="1"/>
  <c r="R25" i="81"/>
  <c r="L66" i="73" s="1"/>
  <c r="Q25" i="81"/>
  <c r="P25" i="81"/>
  <c r="L64" i="73" s="1"/>
  <c r="O25" i="81"/>
  <c r="L63" i="73" s="1"/>
  <c r="N25" i="81"/>
  <c r="L62" i="73" s="1"/>
  <c r="R24" i="81"/>
  <c r="L45" i="73" s="1"/>
  <c r="Q24" i="81"/>
  <c r="L44" i="73" s="1"/>
  <c r="P24" i="81"/>
  <c r="O24" i="81"/>
  <c r="L42" i="73" s="1"/>
  <c r="N24" i="81"/>
  <c r="L41" i="73" s="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K68" i="74"/>
  <c r="K1024" i="93" s="1"/>
  <c r="J68" i="74"/>
  <c r="J1024" i="93" s="1"/>
  <c r="I68" i="74"/>
  <c r="I1024" i="93" s="1"/>
  <c r="H68" i="74"/>
  <c r="H1024" i="93" s="1"/>
  <c r="G68" i="74"/>
  <c r="G1024" i="93" s="1"/>
  <c r="F68" i="74"/>
  <c r="F1024" i="93" s="1"/>
  <c r="E68" i="74"/>
  <c r="E1024" i="93" s="1"/>
  <c r="D68" i="74"/>
  <c r="D1024" i="93" s="1"/>
  <c r="C68" i="74"/>
  <c r="C1024" i="93" s="1"/>
  <c r="B68" i="74"/>
  <c r="B1024" i="93" s="1"/>
  <c r="K39" i="74"/>
  <c r="K995" i="93" s="1"/>
  <c r="J39" i="74"/>
  <c r="J995" i="93" s="1"/>
  <c r="I39" i="74"/>
  <c r="I995" i="93" s="1"/>
  <c r="H39" i="74"/>
  <c r="H995" i="93" s="1"/>
  <c r="G39" i="74"/>
  <c r="G995" i="93" s="1"/>
  <c r="F39" i="74"/>
  <c r="F995" i="93" s="1"/>
  <c r="E39" i="74"/>
  <c r="E995" i="93" s="1"/>
  <c r="D39" i="74"/>
  <c r="D995" i="93" s="1"/>
  <c r="C39" i="74"/>
  <c r="C995" i="93" s="1"/>
  <c r="B39" i="74"/>
  <c r="B995" i="93" s="1"/>
  <c r="K38" i="74"/>
  <c r="K994" i="93" s="1"/>
  <c r="J38" i="74"/>
  <c r="J994" i="93" s="1"/>
  <c r="I38" i="74"/>
  <c r="I994" i="93" s="1"/>
  <c r="H38" i="74"/>
  <c r="H994" i="93" s="1"/>
  <c r="G38" i="74"/>
  <c r="G994" i="93" s="1"/>
  <c r="F38" i="74"/>
  <c r="F994" i="93" s="1"/>
  <c r="E38" i="74"/>
  <c r="E994" i="93" s="1"/>
  <c r="D38" i="74"/>
  <c r="D994" i="93" s="1"/>
  <c r="C38" i="74"/>
  <c r="C994" i="93" s="1"/>
  <c r="B38" i="74"/>
  <c r="B994" i="93" s="1"/>
  <c r="A33" i="74"/>
  <c r="A63" i="74" s="1"/>
  <c r="A92" i="74" s="1"/>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P303" i="72" s="1"/>
  <c r="O303" i="72"/>
  <c r="O1857" i="93" s="1"/>
  <c r="J213" i="72"/>
  <c r="I210" i="72"/>
  <c r="E210" i="72"/>
  <c r="H273" i="72"/>
  <c r="I97" i="72"/>
  <c r="J68" i="72"/>
  <c r="A2" i="71"/>
  <c r="P443" i="72"/>
  <c r="P433" i="72"/>
  <c r="P1987" i="93"/>
  <c r="O433" i="72"/>
  <c r="O1987" i="93" s="1"/>
  <c r="L1987" i="93" s="1"/>
  <c r="H178" i="72"/>
  <c r="K178" i="72"/>
  <c r="H169" i="72"/>
  <c r="G169" i="72"/>
  <c r="D169" i="72"/>
  <c r="H168" i="72"/>
  <c r="G168" i="72"/>
  <c r="D168" i="72"/>
  <c r="H167" i="72"/>
  <c r="G167" i="72"/>
  <c r="D167" i="72"/>
  <c r="O165" i="72"/>
  <c r="R414" i="72"/>
  <c r="P414" i="72"/>
  <c r="P1968" i="93" s="1"/>
  <c r="O414" i="72"/>
  <c r="P397" i="72"/>
  <c r="P1951" i="93" s="1"/>
  <c r="S364" i="72"/>
  <c r="N347" i="72"/>
  <c r="L347" i="72"/>
  <c r="P346" i="72"/>
  <c r="P1900" i="93" s="1"/>
  <c r="P316" i="72"/>
  <c r="P1870" i="93"/>
  <c r="O316" i="72"/>
  <c r="U288" i="72"/>
  <c r="U287" i="72"/>
  <c r="L222" i="72"/>
  <c r="L1776" i="93" s="1"/>
  <c r="J222" i="72"/>
  <c r="J1776" i="93" s="1"/>
  <c r="P280" i="72"/>
  <c r="P1834" i="93" s="1"/>
  <c r="O280" i="72"/>
  <c r="O1834" i="93" s="1"/>
  <c r="M275" i="72"/>
  <c r="Q274" i="72"/>
  <c r="O15" i="72"/>
  <c r="P12" i="72" s="1"/>
  <c r="J15" i="72"/>
  <c r="F15" i="72"/>
  <c r="P10" i="72" s="1"/>
  <c r="P8" i="72" s="1"/>
  <c r="P1562" i="93"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c r="A113" i="74" s="1"/>
  <c r="A54" i="74"/>
  <c r="A84" i="74" s="1"/>
  <c r="A112" i="74" s="1"/>
  <c r="A53" i="74"/>
  <c r="A83" i="74" s="1"/>
  <c r="A111" i="74" s="1"/>
  <c r="B53" i="82"/>
  <c r="C13" i="74"/>
  <c r="C21" i="74" s="1"/>
  <c r="N11" i="74"/>
  <c r="N3" i="74"/>
  <c r="R161" i="75"/>
  <c r="K159" i="75"/>
  <c r="F106" i="74"/>
  <c r="J159" i="75"/>
  <c r="E106" i="74" s="1"/>
  <c r="I159" i="75"/>
  <c r="H159" i="75"/>
  <c r="C106" i="74"/>
  <c r="G159" i="75"/>
  <c r="B106" i="74" s="1"/>
  <c r="R156" i="75"/>
  <c r="K155" i="75"/>
  <c r="F105" i="74" s="1"/>
  <c r="J155" i="75"/>
  <c r="E105" i="74" s="1"/>
  <c r="I155" i="75"/>
  <c r="D105" i="74" s="1"/>
  <c r="H155" i="75"/>
  <c r="C105" i="74"/>
  <c r="G155" i="75"/>
  <c r="B105" i="74" s="1"/>
  <c r="S152" i="75"/>
  <c r="P150" i="75"/>
  <c r="K78" i="74"/>
  <c r="O150" i="75"/>
  <c r="J78" i="74" s="1"/>
  <c r="N150" i="75"/>
  <c r="I78" i="74"/>
  <c r="M150" i="75"/>
  <c r="H78" i="74" s="1"/>
  <c r="L150" i="75"/>
  <c r="G78" i="74" s="1"/>
  <c r="K150" i="75"/>
  <c r="F78" i="74" s="1"/>
  <c r="J150" i="75"/>
  <c r="E78" i="74" s="1"/>
  <c r="I150" i="75"/>
  <c r="D78" i="74" s="1"/>
  <c r="H150" i="75"/>
  <c r="C78" i="74"/>
  <c r="G150" i="75"/>
  <c r="B78" i="74" s="1"/>
  <c r="R147" i="75"/>
  <c r="P146" i="75"/>
  <c r="K77" i="74" s="1"/>
  <c r="O146" i="75"/>
  <c r="J77" i="74" s="1"/>
  <c r="N146" i="75"/>
  <c r="I77" i="74" s="1"/>
  <c r="M146" i="75"/>
  <c r="H77" i="74" s="1"/>
  <c r="L146" i="75"/>
  <c r="G77" i="74"/>
  <c r="K146" i="75"/>
  <c r="F77" i="74" s="1"/>
  <c r="J146" i="75"/>
  <c r="E77" i="74"/>
  <c r="I146" i="75"/>
  <c r="D77" i="74" s="1"/>
  <c r="H146" i="75"/>
  <c r="C77" i="74"/>
  <c r="G146" i="75"/>
  <c r="B77" i="74" s="1"/>
  <c r="S143" i="75"/>
  <c r="P141" i="75"/>
  <c r="K48" i="74" s="1"/>
  <c r="O141" i="75"/>
  <c r="J48" i="74" s="1"/>
  <c r="N141" i="75"/>
  <c r="I48" i="74" s="1"/>
  <c r="M141" i="75"/>
  <c r="H48" i="74" s="1"/>
  <c r="L141" i="75"/>
  <c r="G48" i="74"/>
  <c r="K141" i="75"/>
  <c r="F48" i="74" s="1"/>
  <c r="J141" i="75"/>
  <c r="E48" i="74" s="1"/>
  <c r="I141" i="75"/>
  <c r="D48" i="74" s="1"/>
  <c r="H141" i="75"/>
  <c r="G141" i="75"/>
  <c r="B48" i="74" s="1"/>
  <c r="R138" i="75"/>
  <c r="P137" i="75"/>
  <c r="K47" i="74"/>
  <c r="O137" i="75"/>
  <c r="J47" i="74" s="1"/>
  <c r="N137" i="75"/>
  <c r="I47" i="74"/>
  <c r="M137" i="75"/>
  <c r="H47" i="74" s="1"/>
  <c r="L137" i="75"/>
  <c r="G47" i="74"/>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c r="J132" i="75"/>
  <c r="E18" i="74" s="1"/>
  <c r="I132" i="75"/>
  <c r="D18" i="74" s="1"/>
  <c r="H132" i="75"/>
  <c r="C18" i="74"/>
  <c r="G132" i="75"/>
  <c r="B18" i="74" s="1"/>
  <c r="R129" i="75"/>
  <c r="P128" i="75"/>
  <c r="K17" i="74" s="1"/>
  <c r="O128" i="75"/>
  <c r="J17" i="74"/>
  <c r="N128" i="75"/>
  <c r="I17" i="74" s="1"/>
  <c r="M128" i="75"/>
  <c r="H17" i="74"/>
  <c r="L128" i="75"/>
  <c r="G17" i="74" s="1"/>
  <c r="K128" i="75"/>
  <c r="F17" i="74" s="1"/>
  <c r="J128" i="75"/>
  <c r="E17" i="74"/>
  <c r="I128" i="75"/>
  <c r="D17" i="74" s="1"/>
  <c r="H128" i="75"/>
  <c r="C17" i="74" s="1"/>
  <c r="G128" i="75"/>
  <c r="B17" i="74" s="1"/>
  <c r="C55" i="84" s="1"/>
  <c r="R125" i="75"/>
  <c r="R124" i="75"/>
  <c r="R122" i="75"/>
  <c r="R112" i="75"/>
  <c r="R103" i="75"/>
  <c r="R85" i="75"/>
  <c r="O82" i="75"/>
  <c r="O1974" i="93" s="1"/>
  <c r="O81" i="75"/>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O11" i="75"/>
  <c r="BN11" i="75"/>
  <c r="BM11" i="75"/>
  <c r="BL11" i="75"/>
  <c r="BK11" i="75"/>
  <c r="BJ11" i="75"/>
  <c r="BI11" i="75"/>
  <c r="BH11" i="75"/>
  <c r="BG11" i="75"/>
  <c r="BF11" i="75"/>
  <c r="AU11" i="75"/>
  <c r="AT11" i="75"/>
  <c r="AS11" i="75"/>
  <c r="AR11" i="75"/>
  <c r="AQ11" i="75"/>
  <c r="AK11" i="75"/>
  <c r="AJ11" i="75"/>
  <c r="AI11" i="75"/>
  <c r="AH11" i="75"/>
  <c r="AG11" i="75"/>
  <c r="A11"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FA10" i="75"/>
  <c r="EZ10" i="75"/>
  <c r="EY10" i="75"/>
  <c r="EX10" i="75"/>
  <c r="EW10" i="75"/>
  <c r="CX10" i="75"/>
  <c r="CW10" i="75"/>
  <c r="CV10" i="75"/>
  <c r="CU10" i="75"/>
  <c r="CT10" i="75"/>
  <c r="CN10" i="75"/>
  <c r="CM10" i="75"/>
  <c r="CL10" i="75"/>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G10" i="75"/>
  <c r="A10" i="75"/>
  <c r="M37" i="76"/>
  <c r="L37" i="76"/>
  <c r="K37" i="76"/>
  <c r="J37" i="76"/>
  <c r="I37" i="76"/>
  <c r="M21" i="76"/>
  <c r="L21" i="76"/>
  <c r="K21" i="76"/>
  <c r="J21" i="76"/>
  <c r="I21" i="76"/>
  <c r="I11" i="75" s="1"/>
  <c r="K11" i="75" s="1"/>
  <c r="L11" i="75"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U125" i="78"/>
  <c r="A125" i="78"/>
  <c r="J122" i="78"/>
  <c r="J121" i="78"/>
  <c r="W119" i="78"/>
  <c r="O119" i="78"/>
  <c r="V118" i="78"/>
  <c r="S118" i="78"/>
  <c r="P118" i="78"/>
  <c r="M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P27" i="78"/>
  <c r="M27" i="78"/>
  <c r="W24" i="78"/>
  <c r="O24" i="78"/>
  <c r="V23" i="78"/>
  <c r="S23" i="78"/>
  <c r="M23" i="78"/>
  <c r="W18" i="78"/>
  <c r="O18" i="78"/>
  <c r="S17" i="78"/>
  <c r="P17" i="78"/>
  <c r="M17" i="78"/>
  <c r="U16" i="78"/>
  <c r="A16" i="78"/>
  <c r="U15" i="78"/>
  <c r="A15" i="78"/>
  <c r="U14" i="78"/>
  <c r="A14" i="78"/>
  <c r="W7" i="78"/>
  <c r="O7" i="78"/>
  <c r="V5" i="78"/>
  <c r="N41" i="68"/>
  <c r="N40" i="68"/>
  <c r="J56" i="74" s="1"/>
  <c r="J1012" i="93" s="1"/>
  <c r="J1020" i="93" s="1"/>
  <c r="D114" i="74"/>
  <c r="N39" i="68"/>
  <c r="N402" i="93" s="1"/>
  <c r="N38" i="68"/>
  <c r="N401" i="93" s="1"/>
  <c r="S34" i="68"/>
  <c r="L30" i="68"/>
  <c r="S16" i="68"/>
  <c r="S3" i="68"/>
  <c r="L151" i="67"/>
  <c r="P171" i="66"/>
  <c r="H72" i="66"/>
  <c r="H13" i="84" s="1"/>
  <c r="L38" i="66"/>
  <c r="O1870" i="93"/>
  <c r="G101" i="90"/>
  <c r="E41" i="72"/>
  <c r="E1595" i="93" s="1"/>
  <c r="O1968" i="93"/>
  <c r="A3" i="93"/>
  <c r="J50" i="93"/>
  <c r="C43" i="90"/>
  <c r="H8" i="84"/>
  <c r="F14" i="85" s="1"/>
  <c r="A3" i="83" s="1"/>
  <c r="C54" i="74"/>
  <c r="K54" i="74"/>
  <c r="E24" i="74"/>
  <c r="F54" i="74"/>
  <c r="F1010" i="93" s="1"/>
  <c r="F1018" i="93" s="1"/>
  <c r="B91" i="74"/>
  <c r="J91" i="74"/>
  <c r="J86" i="74"/>
  <c r="J1042" i="93" s="1"/>
  <c r="J1049" i="93" s="1"/>
  <c r="D119" i="74"/>
  <c r="G91" i="74"/>
  <c r="C119" i="74"/>
  <c r="F24" i="74"/>
  <c r="G54" i="74"/>
  <c r="G1010" i="93" s="1"/>
  <c r="G1018" i="93" s="1"/>
  <c r="B56" i="74"/>
  <c r="C91" i="74"/>
  <c r="K91" i="74"/>
  <c r="I24" i="74"/>
  <c r="I980" i="93" s="1"/>
  <c r="I988" i="93" s="1"/>
  <c r="F56" i="74"/>
  <c r="F1012" i="93" s="1"/>
  <c r="F1020" i="93" s="1"/>
  <c r="F91" i="74"/>
  <c r="P84" i="72"/>
  <c r="P1638" i="93" s="1"/>
  <c r="O80" i="72"/>
  <c r="O1634" i="93" s="1"/>
  <c r="O84" i="72"/>
  <c r="O1638" i="93" s="1"/>
  <c r="O67" i="72"/>
  <c r="G1150" i="93" s="1"/>
  <c r="N55" i="66"/>
  <c r="C984" i="93"/>
  <c r="F116" i="78"/>
  <c r="F113" i="78"/>
  <c r="F117" i="78"/>
  <c r="Q55" i="73"/>
  <c r="O51" i="93"/>
  <c r="J64" i="74"/>
  <c r="F119" i="74"/>
  <c r="P55" i="73"/>
  <c r="L433" i="72"/>
  <c r="A1" i="66"/>
  <c r="N51" i="93"/>
  <c r="A82" i="75"/>
  <c r="O420" i="72"/>
  <c r="P55" i="66"/>
  <c r="A1" i="72"/>
  <c r="A1" i="74"/>
  <c r="N1" i="74" s="1"/>
  <c r="A3" i="79"/>
  <c r="F356" i="72"/>
  <c r="A1" i="77"/>
  <c r="D38" i="78"/>
  <c r="P11" i="72"/>
  <c r="P80" i="72"/>
  <c r="P1634" i="93" s="1"/>
  <c r="M287" i="72"/>
  <c r="K55" i="74"/>
  <c r="C55" i="74"/>
  <c r="C1011" i="93" s="1"/>
  <c r="C1019" i="93" s="1"/>
  <c r="D113" i="74"/>
  <c r="D1069" i="93" s="1"/>
  <c r="D1076" i="93" s="1"/>
  <c r="J85" i="74"/>
  <c r="F113" i="74"/>
  <c r="B113" i="74"/>
  <c r="B1069" i="93" s="1"/>
  <c r="B1076" i="93" s="1"/>
  <c r="G86" i="74"/>
  <c r="K86" i="74"/>
  <c r="K1042" i="93" s="1"/>
  <c r="K1049" i="93" s="1"/>
  <c r="C24" i="74"/>
  <c r="C980" i="93" s="1"/>
  <c r="C988" i="93" s="1"/>
  <c r="G24" i="74"/>
  <c r="G980" i="93" s="1"/>
  <c r="G988" i="93" s="1"/>
  <c r="K24" i="74"/>
  <c r="D54" i="74"/>
  <c r="H54" i="74"/>
  <c r="H1010" i="93" s="1"/>
  <c r="H1018" i="93" s="1"/>
  <c r="D56" i="74"/>
  <c r="F26" i="74"/>
  <c r="F982" i="93" s="1"/>
  <c r="F990" i="93" s="1"/>
  <c r="J26" i="74"/>
  <c r="G56" i="74"/>
  <c r="G1012" i="93" s="1"/>
  <c r="G1020" i="93" s="1"/>
  <c r="D26" i="74"/>
  <c r="D982" i="93" s="1"/>
  <c r="D990" i="93" s="1"/>
  <c r="H26" i="74"/>
  <c r="E54" i="74"/>
  <c r="E1010" i="93" s="1"/>
  <c r="E1018" i="93" s="1"/>
  <c r="I54" i="74"/>
  <c r="I1010" i="93" s="1"/>
  <c r="I1018" i="93" s="1"/>
  <c r="A1" i="73"/>
  <c r="A1" i="75"/>
  <c r="U1" i="75" s="1"/>
  <c r="A1" i="78"/>
  <c r="W1" i="78" s="1"/>
  <c r="A1" i="68"/>
  <c r="S1" i="68"/>
  <c r="T173" i="72"/>
  <c r="A1" i="67"/>
  <c r="T175" i="72"/>
  <c r="I3" i="76"/>
  <c r="I51" i="93"/>
  <c r="A3" i="71"/>
  <c r="A1" i="76"/>
  <c r="P307" i="72"/>
  <c r="P1861" i="93" s="1"/>
  <c r="R37" i="74"/>
  <c r="R29" i="74"/>
  <c r="R25" i="74"/>
  <c r="R21" i="74"/>
  <c r="R35" i="74"/>
  <c r="R31" i="74"/>
  <c r="R23" i="74"/>
  <c r="R26" i="74"/>
  <c r="R22" i="74"/>
  <c r="R36" i="74"/>
  <c r="R32" i="74"/>
  <c r="R24" i="74"/>
  <c r="R20" i="74"/>
  <c r="R27" i="74"/>
  <c r="R19" i="74"/>
  <c r="R38" i="74"/>
  <c r="R34" i="74"/>
  <c r="R30" i="74"/>
  <c r="E91" i="74"/>
  <c r="H91" i="74"/>
  <c r="I62" i="74"/>
  <c r="B119" i="74"/>
  <c r="D91" i="74"/>
  <c r="E119" i="74"/>
  <c r="T213" i="72"/>
  <c r="T174" i="72"/>
  <c r="M6" i="75"/>
  <c r="O6" i="75"/>
  <c r="R11" i="75" s="1"/>
  <c r="R768" i="93" s="1"/>
  <c r="I91" i="74"/>
  <c r="H15" i="84"/>
  <c r="F18" i="85" s="1"/>
  <c r="K51" i="93"/>
  <c r="T177" i="72"/>
  <c r="E172" i="90"/>
  <c r="E173" i="90" s="1"/>
  <c r="C66" i="84"/>
  <c r="K66" i="84" s="1"/>
  <c r="D13" i="86"/>
  <c r="C13" i="86"/>
  <c r="J599" i="93"/>
  <c r="B59" i="82"/>
  <c r="D10" i="25"/>
  <c r="D18" i="25" s="1"/>
  <c r="D20" i="25" s="1"/>
  <c r="D5" i="26"/>
  <c r="D11" i="26" s="1"/>
  <c r="E63" i="26"/>
  <c r="D12"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P1857" i="93" l="1"/>
  <c r="P294" i="72"/>
  <c r="P1848" i="93" s="1"/>
  <c r="G969" i="93"/>
  <c r="F977" i="93"/>
  <c r="F975" i="93"/>
  <c r="F970" i="93"/>
  <c r="F971" i="93"/>
  <c r="P1665" i="93"/>
  <c r="L230" i="72"/>
  <c r="L1784" i="93" s="1"/>
  <c r="F64" i="74"/>
  <c r="I32" i="74"/>
  <c r="L279" i="72"/>
  <c r="L1833" i="93" s="1"/>
  <c r="C31" i="86"/>
  <c r="H83" i="93"/>
  <c r="J453" i="93"/>
  <c r="S474" i="93"/>
  <c r="S554" i="93"/>
  <c r="FC770" i="93"/>
  <c r="FB770" i="93"/>
  <c r="GQ770" i="93"/>
  <c r="GR770" i="93"/>
  <c r="HK770" i="93"/>
  <c r="AR773" i="93"/>
  <c r="BX773" i="93"/>
  <c r="DI773" i="93"/>
  <c r="IJ773" i="93"/>
  <c r="FM775" i="93"/>
  <c r="FZ775" i="93"/>
  <c r="GR775" i="93"/>
  <c r="HJ775" i="93"/>
  <c r="HX775" i="93"/>
  <c r="G453" i="93"/>
  <c r="D25" i="74"/>
  <c r="D981" i="93" s="1"/>
  <c r="D989" i="93" s="1"/>
  <c r="F32" i="86"/>
  <c r="G547" i="93"/>
  <c r="S513" i="93"/>
  <c r="M562" i="93"/>
  <c r="HB770" i="93"/>
  <c r="HU770" i="93"/>
  <c r="HN770" i="93"/>
  <c r="FA770" i="93"/>
  <c r="FD770" i="93"/>
  <c r="HD770" i="93"/>
  <c r="AZ773" i="93"/>
  <c r="CF773" i="93"/>
  <c r="EB773" i="93"/>
  <c r="IZ773" i="93"/>
  <c r="FB775" i="93"/>
  <c r="FO775" i="93"/>
  <c r="GG775" i="93"/>
  <c r="GT775" i="93"/>
  <c r="HL775" i="93"/>
  <c r="GC775" i="93"/>
  <c r="I85" i="74"/>
  <c r="K93" i="74"/>
  <c r="O307" i="72"/>
  <c r="O1861" i="93" s="1"/>
  <c r="I86" i="74"/>
  <c r="I1042" i="93" s="1"/>
  <c r="I1049" i="93" s="1"/>
  <c r="H24" i="74"/>
  <c r="H980" i="93" s="1"/>
  <c r="H988" i="93" s="1"/>
  <c r="B26" i="74"/>
  <c r="K26" i="74"/>
  <c r="K56" i="74"/>
  <c r="E25" i="74"/>
  <c r="E981" i="93" s="1"/>
  <c r="E989" i="93" s="1"/>
  <c r="I55" i="74"/>
  <c r="G85" i="74"/>
  <c r="O272" i="72"/>
  <c r="O1826" i="93" s="1"/>
  <c r="J54" i="74"/>
  <c r="J24" i="74"/>
  <c r="F86" i="74"/>
  <c r="P171" i="72"/>
  <c r="P1725" i="93" s="1"/>
  <c r="H31" i="86"/>
  <c r="A539" i="93"/>
  <c r="E977" i="93"/>
  <c r="G459" i="93"/>
  <c r="P453" i="93"/>
  <c r="A565" i="93"/>
  <c r="S566" i="93"/>
  <c r="FV770" i="93"/>
  <c r="HJ770" i="93"/>
  <c r="HC770" i="93"/>
  <c r="FL770" i="93"/>
  <c r="HL770" i="93"/>
  <c r="EY770" i="93"/>
  <c r="BX772" i="93"/>
  <c r="CY772" i="93"/>
  <c r="AA773" i="93"/>
  <c r="BG773" i="93"/>
  <c r="CM773" i="93"/>
  <c r="EK773" i="93"/>
  <c r="JA773" i="93"/>
  <c r="FC775" i="93"/>
  <c r="FP775" i="93"/>
  <c r="GH775" i="93"/>
  <c r="GZ775" i="93"/>
  <c r="FU775" i="93"/>
  <c r="IB775" i="93"/>
  <c r="GY775" i="93"/>
  <c r="G32" i="74"/>
  <c r="D120" i="74"/>
  <c r="E86" i="74"/>
  <c r="D24" i="74"/>
  <c r="C114" i="74"/>
  <c r="G26" i="74"/>
  <c r="C56" i="74"/>
  <c r="C1012" i="93" s="1"/>
  <c r="C1020" i="93" s="1"/>
  <c r="I25" i="74"/>
  <c r="E85" i="74"/>
  <c r="E113" i="74"/>
  <c r="E1069" i="93" s="1"/>
  <c r="E1076" i="93" s="1"/>
  <c r="D55" i="74"/>
  <c r="P1669" i="93"/>
  <c r="O171" i="72"/>
  <c r="O1725" i="93" s="1"/>
  <c r="C8" i="90"/>
  <c r="B5" i="92" s="1"/>
  <c r="C36" i="84"/>
  <c r="F51" i="86"/>
  <c r="G554" i="93"/>
  <c r="M554" i="93"/>
  <c r="FF770" i="93"/>
  <c r="GT770" i="93"/>
  <c r="GS770" i="93"/>
  <c r="FP770" i="93"/>
  <c r="HX770" i="93"/>
  <c r="FE770" i="93"/>
  <c r="BY772" i="93"/>
  <c r="CZ772" i="93"/>
  <c r="AB773" i="93"/>
  <c r="BH773" i="93"/>
  <c r="CN773" i="93"/>
  <c r="ER773" i="93"/>
  <c r="FD775" i="93"/>
  <c r="FV775" i="93"/>
  <c r="GI775" i="93"/>
  <c r="HA775" i="93"/>
  <c r="HN775" i="93"/>
  <c r="H62" i="74"/>
  <c r="F34" i="74"/>
  <c r="B120" i="74"/>
  <c r="I56" i="74"/>
  <c r="F114" i="74"/>
  <c r="F1070" i="93" s="1"/>
  <c r="F1077" i="93" s="1"/>
  <c r="H86" i="74"/>
  <c r="C26" i="74"/>
  <c r="C25" i="74"/>
  <c r="F55" i="74"/>
  <c r="C113" i="74"/>
  <c r="B54" i="74"/>
  <c r="E114" i="74"/>
  <c r="B24" i="74"/>
  <c r="B980" i="93" s="1"/>
  <c r="B988" i="93" s="1"/>
  <c r="F62" i="74"/>
  <c r="D52" i="86"/>
  <c r="V568" i="93"/>
  <c r="S527" i="93"/>
  <c r="M566" i="93"/>
  <c r="GI770" i="93"/>
  <c r="GH770" i="93"/>
  <c r="FX770" i="93"/>
  <c r="HA770" i="93"/>
  <c r="FO770" i="93"/>
  <c r="CF772" i="93"/>
  <c r="DA772" i="93"/>
  <c r="AI773" i="93"/>
  <c r="BO773" i="93"/>
  <c r="CV773" i="93"/>
  <c r="FC773" i="93"/>
  <c r="FE775" i="93"/>
  <c r="FW775" i="93"/>
  <c r="GJ775" i="93"/>
  <c r="HB775" i="93"/>
  <c r="HT775" i="93"/>
  <c r="IC783" i="93"/>
  <c r="HS783" i="93"/>
  <c r="HJ783" i="93"/>
  <c r="HB783" i="93"/>
  <c r="GT783" i="93"/>
  <c r="GL783" i="93"/>
  <c r="GD783" i="93"/>
  <c r="FV783" i="93"/>
  <c r="FN783" i="93"/>
  <c r="FF783" i="93"/>
  <c r="EX783" i="93"/>
  <c r="IB783" i="93"/>
  <c r="HQ783" i="93"/>
  <c r="HI783" i="93"/>
  <c r="HA783" i="93"/>
  <c r="GS783" i="93"/>
  <c r="GK783" i="93"/>
  <c r="GC783" i="93"/>
  <c r="FU783" i="93"/>
  <c r="FM783" i="93"/>
  <c r="FE783" i="93"/>
  <c r="EW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HN783" i="93"/>
  <c r="HF783" i="93"/>
  <c r="GX783" i="93"/>
  <c r="GP783" i="93"/>
  <c r="GH783" i="93"/>
  <c r="FZ783" i="93"/>
  <c r="FR783" i="93"/>
  <c r="FJ783" i="93"/>
  <c r="FB783" i="93"/>
  <c r="HW783" i="93"/>
  <c r="HM783" i="93"/>
  <c r="HE783" i="93"/>
  <c r="GW783" i="93"/>
  <c r="GO783" i="93"/>
  <c r="GG783" i="93"/>
  <c r="FY783" i="93"/>
  <c r="FQ783" i="93"/>
  <c r="FI783" i="93"/>
  <c r="FA783" i="93"/>
  <c r="HT783" i="93"/>
  <c r="HK783" i="93"/>
  <c r="HC783" i="93"/>
  <c r="GU783" i="93"/>
  <c r="GM783" i="93"/>
  <c r="GE783" i="93"/>
  <c r="FW783" i="93"/>
  <c r="FO783" i="93"/>
  <c r="FG783" i="93"/>
  <c r="EY783" i="93"/>
  <c r="HI791" i="93"/>
  <c r="GN791" i="93"/>
  <c r="FX791" i="93"/>
  <c r="FH791" i="93"/>
  <c r="HD791" i="93"/>
  <c r="GK791" i="93"/>
  <c r="FU791" i="93"/>
  <c r="FE791" i="93"/>
  <c r="HA791" i="93"/>
  <c r="GJ791" i="93"/>
  <c r="FT791" i="93"/>
  <c r="FD791" i="93"/>
  <c r="IB791" i="93"/>
  <c r="GW791" i="93"/>
  <c r="GG791" i="93"/>
  <c r="FQ791" i="93"/>
  <c r="FA791" i="93"/>
  <c r="HY791" i="93"/>
  <c r="GV791" i="93"/>
  <c r="GF791" i="93"/>
  <c r="FP791" i="93"/>
  <c r="EZ791" i="93"/>
  <c r="HT791" i="93"/>
  <c r="GS791" i="93"/>
  <c r="GC791" i="93"/>
  <c r="FM791" i="93"/>
  <c r="EY791" i="93"/>
  <c r="HL791" i="93"/>
  <c r="GO791" i="93"/>
  <c r="FY791" i="93"/>
  <c r="FI791" i="93"/>
  <c r="EW791" i="93"/>
  <c r="HN799" i="93"/>
  <c r="GH799" i="93"/>
  <c r="FB799" i="93"/>
  <c r="HI799" i="93"/>
  <c r="GC799" i="93"/>
  <c r="FA799" i="93"/>
  <c r="HF799" i="93"/>
  <c r="FZ799" i="93"/>
  <c r="EZ799" i="93"/>
  <c r="HA799" i="93"/>
  <c r="FU799" i="93"/>
  <c r="EY799" i="93"/>
  <c r="GX799" i="93"/>
  <c r="FR799" i="93"/>
  <c r="EX799" i="93"/>
  <c r="HY799" i="93"/>
  <c r="GS799" i="93"/>
  <c r="FM799" i="93"/>
  <c r="EW799" i="93"/>
  <c r="HQ799" i="93"/>
  <c r="GK799" i="93"/>
  <c r="FE799" i="93"/>
  <c r="DV781" i="93"/>
  <c r="JG781" i="93"/>
  <c r="HV770" i="93"/>
  <c r="HG770" i="93"/>
  <c r="C85" i="74"/>
  <c r="E62" i="74"/>
  <c r="D34" i="74"/>
  <c r="G64" i="74"/>
  <c r="E56" i="74"/>
  <c r="E1012" i="93" s="1"/>
  <c r="E1020" i="93" s="1"/>
  <c r="B114" i="74"/>
  <c r="D86" i="74"/>
  <c r="H55" i="74"/>
  <c r="H1011" i="93" s="1"/>
  <c r="H1019" i="93" s="1"/>
  <c r="J55" i="74"/>
  <c r="J1011" i="93" s="1"/>
  <c r="J1019" i="93" s="1"/>
  <c r="F25" i="74"/>
  <c r="B86" i="74"/>
  <c r="H52" i="86"/>
  <c r="A512" i="93"/>
  <c r="U452" i="93"/>
  <c r="J500" i="93"/>
  <c r="S500" i="93"/>
  <c r="K730" i="93"/>
  <c r="FY770" i="93"/>
  <c r="FW770" i="93"/>
  <c r="GF770" i="93"/>
  <c r="FZ770" i="93"/>
  <c r="AJ773" i="93"/>
  <c r="BP773" i="93"/>
  <c r="CW773" i="93"/>
  <c r="GH773" i="93"/>
  <c r="FF775" i="93"/>
  <c r="FX775" i="93"/>
  <c r="GP775" i="93"/>
  <c r="HC775" i="93"/>
  <c r="HV775" i="93"/>
  <c r="CZ781" i="93"/>
  <c r="BX781" i="93"/>
  <c r="CY781" i="93"/>
  <c r="BW781" i="93"/>
  <c r="CX781" i="93"/>
  <c r="BV781" i="93"/>
  <c r="CW781" i="93"/>
  <c r="BU781" i="93"/>
  <c r="CV781" i="93"/>
  <c r="AD781" i="93"/>
  <c r="DC781" i="93"/>
  <c r="CU781" i="93"/>
  <c r="DA781" i="93"/>
  <c r="BY781" i="93"/>
  <c r="CY789" i="93"/>
  <c r="BX789" i="93"/>
  <c r="CX789" i="93"/>
  <c r="BW789" i="93"/>
  <c r="CW789" i="93"/>
  <c r="BV789" i="93"/>
  <c r="CV789" i="93"/>
  <c r="BU789" i="93"/>
  <c r="DC789" i="93"/>
  <c r="CU789" i="93"/>
  <c r="DB789" i="93"/>
  <c r="CT789" i="93"/>
  <c r="CZ789" i="93"/>
  <c r="BY789" i="93"/>
  <c r="C971" i="93"/>
  <c r="C970" i="93"/>
  <c r="C86" i="74"/>
  <c r="H56" i="74"/>
  <c r="H85" i="74"/>
  <c r="B85" i="74"/>
  <c r="J25" i="74"/>
  <c r="G62" i="74"/>
  <c r="E26" i="74"/>
  <c r="J93" i="74"/>
  <c r="G25" i="74"/>
  <c r="K25" i="74"/>
  <c r="K981" i="93" s="1"/>
  <c r="K989" i="93" s="1"/>
  <c r="G11" i="86"/>
  <c r="S453" i="93"/>
  <c r="S459" i="93"/>
  <c r="J562" i="93"/>
  <c r="K746" i="93"/>
  <c r="FN770" i="93"/>
  <c r="FM770" i="93"/>
  <c r="HW770" i="93"/>
  <c r="GJ770" i="93"/>
  <c r="CU772" i="93"/>
  <c r="AQ773" i="93"/>
  <c r="BW773" i="93"/>
  <c r="DD773" i="93"/>
  <c r="FL775" i="93"/>
  <c r="FY775" i="93"/>
  <c r="GQ775" i="93"/>
  <c r="HD775" i="93"/>
  <c r="HW775" i="93"/>
  <c r="HZ777" i="93"/>
  <c r="JN777" i="93"/>
  <c r="HY777" i="93"/>
  <c r="HQ777" i="93"/>
  <c r="HI777" i="93"/>
  <c r="HA777" i="93"/>
  <c r="GS777" i="93"/>
  <c r="GK777" i="93"/>
  <c r="GC777" i="93"/>
  <c r="FU777" i="93"/>
  <c r="FM777" i="93"/>
  <c r="FE777" i="93"/>
  <c r="EW777" i="93"/>
  <c r="CX777" i="93"/>
  <c r="BW777" i="93"/>
  <c r="JF777" i="93"/>
  <c r="HW777" i="93"/>
  <c r="HO777" i="93"/>
  <c r="HG777" i="93"/>
  <c r="GY777" i="93"/>
  <c r="GQ777" i="93"/>
  <c r="GI777" i="93"/>
  <c r="GA777" i="93"/>
  <c r="FS777" i="93"/>
  <c r="IA777" i="93"/>
  <c r="HS777" i="93"/>
  <c r="HK777" i="93"/>
  <c r="HC777" i="93"/>
  <c r="GU777" i="93"/>
  <c r="GM777" i="93"/>
  <c r="GE777" i="93"/>
  <c r="FW777" i="93"/>
  <c r="FO777" i="93"/>
  <c r="FG777" i="93"/>
  <c r="EY777" i="93"/>
  <c r="CZ777" i="93"/>
  <c r="JL785" i="93"/>
  <c r="HW785" i="93"/>
  <c r="HO785" i="93"/>
  <c r="HG785" i="93"/>
  <c r="GY785" i="93"/>
  <c r="GQ785" i="93"/>
  <c r="GI785" i="93"/>
  <c r="GA785" i="93"/>
  <c r="FS785" i="93"/>
  <c r="FK785" i="93"/>
  <c r="FC785" i="93"/>
  <c r="DC785" i="93"/>
  <c r="CU785" i="93"/>
  <c r="Y785" i="93"/>
  <c r="JH785" i="93"/>
  <c r="HV785" i="93"/>
  <c r="HN785" i="93"/>
  <c r="HF785" i="93"/>
  <c r="GX785" i="93"/>
  <c r="GP785" i="93"/>
  <c r="GH785" i="93"/>
  <c r="FZ785" i="93"/>
  <c r="FR785" i="93"/>
  <c r="FJ785" i="93"/>
  <c r="FB785" i="93"/>
  <c r="DB785" i="93"/>
  <c r="CT785" i="93"/>
  <c r="IC785" i="93"/>
  <c r="HU785" i="93"/>
  <c r="HM785" i="93"/>
  <c r="HE785" i="93"/>
  <c r="GW785" i="93"/>
  <c r="GO785" i="93"/>
  <c r="GG785" i="93"/>
  <c r="FY785" i="93"/>
  <c r="FQ785" i="93"/>
  <c r="FI785" i="93"/>
  <c r="FA785" i="93"/>
  <c r="DA785" i="93"/>
  <c r="CO785" i="93"/>
  <c r="IB785" i="93"/>
  <c r="HT785" i="93"/>
  <c r="HL785" i="93"/>
  <c r="HD785" i="93"/>
  <c r="GV785" i="93"/>
  <c r="GN785" i="93"/>
  <c r="GF785" i="93"/>
  <c r="FX785" i="93"/>
  <c r="FP785" i="93"/>
  <c r="FH785" i="93"/>
  <c r="EZ785" i="93"/>
  <c r="CZ785" i="93"/>
  <c r="BY785" i="93"/>
  <c r="IA785" i="93"/>
  <c r="HS785" i="93"/>
  <c r="HK785" i="93"/>
  <c r="HC785" i="93"/>
  <c r="GU785" i="93"/>
  <c r="GM785" i="93"/>
  <c r="GE785" i="93"/>
  <c r="FW785" i="93"/>
  <c r="FO785" i="93"/>
  <c r="FG785" i="93"/>
  <c r="EY785" i="93"/>
  <c r="CY785" i="93"/>
  <c r="BX785" i="93"/>
  <c r="HZ785" i="93"/>
  <c r="HR785" i="93"/>
  <c r="HJ785" i="93"/>
  <c r="HB785" i="93"/>
  <c r="GT785" i="93"/>
  <c r="GL785" i="93"/>
  <c r="GD785" i="93"/>
  <c r="FV785" i="93"/>
  <c r="FN785" i="93"/>
  <c r="FF785" i="93"/>
  <c r="EX785" i="93"/>
  <c r="CX785" i="93"/>
  <c r="BW785" i="93"/>
  <c r="JP785" i="93"/>
  <c r="HX785" i="93"/>
  <c r="HP785" i="93"/>
  <c r="HH785" i="93"/>
  <c r="GZ785" i="93"/>
  <c r="GR785" i="93"/>
  <c r="GJ785" i="93"/>
  <c r="GB785" i="93"/>
  <c r="FT785" i="93"/>
  <c r="FL785" i="93"/>
  <c r="FD785" i="93"/>
  <c r="EK785" i="93"/>
  <c r="CV785" i="93"/>
  <c r="BU785" i="93"/>
  <c r="HY793" i="93"/>
  <c r="HQ793" i="93"/>
  <c r="HI793" i="93"/>
  <c r="HA793" i="93"/>
  <c r="GS793" i="93"/>
  <c r="GK793" i="93"/>
  <c r="GC793" i="93"/>
  <c r="FU793" i="93"/>
  <c r="FM793" i="93"/>
  <c r="FE793" i="93"/>
  <c r="EW793" i="93"/>
  <c r="CC793" i="93"/>
  <c r="HX793" i="93"/>
  <c r="HP793" i="93"/>
  <c r="HH793" i="93"/>
  <c r="GZ793" i="93"/>
  <c r="GR793" i="93"/>
  <c r="GJ793" i="93"/>
  <c r="GB793" i="93"/>
  <c r="FT793" i="93"/>
  <c r="FL793" i="93"/>
  <c r="FD793" i="93"/>
  <c r="DB793" i="93"/>
  <c r="BY793" i="93"/>
  <c r="JO793" i="93"/>
  <c r="HW793" i="93"/>
  <c r="HO793" i="93"/>
  <c r="HG793" i="93"/>
  <c r="GY793" i="93"/>
  <c r="GQ793" i="93"/>
  <c r="GI793" i="93"/>
  <c r="GA793" i="93"/>
  <c r="FS793" i="93"/>
  <c r="FK793" i="93"/>
  <c r="FC793" i="93"/>
  <c r="DA793" i="93"/>
  <c r="BX793" i="93"/>
  <c r="JC793" i="93"/>
  <c r="HV793" i="93"/>
  <c r="HN793" i="93"/>
  <c r="HF793" i="93"/>
  <c r="GX793" i="93"/>
  <c r="GP793" i="93"/>
  <c r="GH793" i="93"/>
  <c r="FZ793" i="93"/>
  <c r="FR793" i="93"/>
  <c r="FJ793" i="93"/>
  <c r="FB793" i="93"/>
  <c r="CZ793" i="93"/>
  <c r="BV793" i="93"/>
  <c r="IC793" i="93"/>
  <c r="HU793" i="93"/>
  <c r="HM793" i="93"/>
  <c r="HE793" i="93"/>
  <c r="GW793" i="93"/>
  <c r="GO793" i="93"/>
  <c r="GG793" i="93"/>
  <c r="FY793" i="93"/>
  <c r="FQ793" i="93"/>
  <c r="FI793" i="93"/>
  <c r="FA793" i="93"/>
  <c r="CX793" i="93"/>
  <c r="BU793" i="93"/>
  <c r="IB793" i="93"/>
  <c r="HT793" i="93"/>
  <c r="HL793" i="93"/>
  <c r="HD793" i="93"/>
  <c r="GV793" i="93"/>
  <c r="GN793" i="93"/>
  <c r="GF793" i="93"/>
  <c r="FX793" i="93"/>
  <c r="FP793" i="93"/>
  <c r="FH793" i="93"/>
  <c r="EZ793" i="93"/>
  <c r="CW793" i="93"/>
  <c r="HZ793" i="93"/>
  <c r="HR793" i="93"/>
  <c r="HJ793" i="93"/>
  <c r="HB793" i="93"/>
  <c r="GT793" i="93"/>
  <c r="GL793" i="93"/>
  <c r="GD793" i="93"/>
  <c r="FV793" i="93"/>
  <c r="FN793" i="93"/>
  <c r="FF793" i="93"/>
  <c r="EX793" i="93"/>
  <c r="CT793" i="93"/>
  <c r="GF801" i="93"/>
  <c r="CX801" i="93"/>
  <c r="IA801" i="93"/>
  <c r="GE801" i="93"/>
  <c r="HX801" i="93"/>
  <c r="FT801" i="93"/>
  <c r="HP801" i="93"/>
  <c r="FO801" i="93"/>
  <c r="HE801" i="93"/>
  <c r="FK801" i="93"/>
  <c r="HA801" i="93"/>
  <c r="EZ801" i="93"/>
  <c r="GO801" i="93"/>
  <c r="CY801" i="93"/>
  <c r="JP775" i="93"/>
  <c r="JI783" i="93"/>
  <c r="JH783" i="93"/>
  <c r="JP783" i="93"/>
  <c r="JG783" i="93"/>
  <c r="JO783" i="93"/>
  <c r="JF783" i="93"/>
  <c r="JN783" i="93"/>
  <c r="JD783" i="93"/>
  <c r="JL783" i="93"/>
  <c r="JC783" i="93"/>
  <c r="JJ783" i="93"/>
  <c r="JJ791" i="93"/>
  <c r="JI791" i="93"/>
  <c r="JH791" i="93"/>
  <c r="JG791" i="93"/>
  <c r="JK791" i="93"/>
  <c r="JM799" i="93"/>
  <c r="JL799" i="93"/>
  <c r="JK799" i="93"/>
  <c r="JJ799" i="93"/>
  <c r="JI799" i="93"/>
  <c r="A770" i="93"/>
  <c r="A786" i="93"/>
  <c r="A794" i="93"/>
  <c r="GU782" i="93"/>
  <c r="K916" i="93"/>
  <c r="GE775" i="93"/>
  <c r="HI772" i="93"/>
  <c r="FJ772" i="93"/>
  <c r="GX775" i="93"/>
  <c r="HQ769" i="93"/>
  <c r="HF769" i="93"/>
  <c r="HE772" i="93"/>
  <c r="K885" i="93"/>
  <c r="N898" i="93"/>
  <c r="Q1828" i="93"/>
  <c r="GO769" i="93"/>
  <c r="FS769" i="93"/>
  <c r="HG769" i="93"/>
  <c r="FQ769" i="93"/>
  <c r="CX771" i="93"/>
  <c r="J885" i="93"/>
  <c r="H903" i="93"/>
  <c r="P903" i="93"/>
  <c r="H912" i="93"/>
  <c r="A1097" i="93"/>
  <c r="H1097" i="93" s="1"/>
  <c r="GY769" i="93"/>
  <c r="IB769" i="93"/>
  <c r="FR769" i="93"/>
  <c r="GA772" i="93"/>
  <c r="FH775" i="93"/>
  <c r="A782" i="93"/>
  <c r="A790" i="93"/>
  <c r="M889" i="93"/>
  <c r="K894" i="93"/>
  <c r="M898" i="93"/>
  <c r="H907" i="93"/>
  <c r="M1718" i="93"/>
  <c r="O1718" i="93" s="1"/>
  <c r="M1721" i="93"/>
  <c r="P1721" i="93" s="1"/>
  <c r="IC769" i="93"/>
  <c r="GD769" i="93"/>
  <c r="HR769" i="93"/>
  <c r="GM769" i="93"/>
  <c r="GL769" i="93"/>
  <c r="GK772" i="93"/>
  <c r="DL782" i="93"/>
  <c r="CO774" i="93"/>
  <c r="G898" i="93"/>
  <c r="Q1766" i="93"/>
  <c r="HS772" i="93"/>
  <c r="FI769" i="93"/>
  <c r="HZ769" i="93"/>
  <c r="FG769" i="93"/>
  <c r="IS773" i="93"/>
  <c r="O839" i="93"/>
  <c r="A839" i="93" s="1"/>
  <c r="F934" i="93"/>
  <c r="FU769" i="93"/>
  <c r="HS769" i="93"/>
  <c r="GN769" i="93"/>
  <c r="HH769" i="93"/>
  <c r="IA769" i="93"/>
  <c r="HP769" i="93"/>
  <c r="HY769" i="93"/>
  <c r="H982" i="93"/>
  <c r="H990" i="93" s="1"/>
  <c r="H34" i="74"/>
  <c r="J982" i="93"/>
  <c r="J990" i="93" s="1"/>
  <c r="J34" i="74"/>
  <c r="F1042" i="93"/>
  <c r="F1049" i="93" s="1"/>
  <c r="F93" i="74"/>
  <c r="F121" i="74"/>
  <c r="H32" i="74"/>
  <c r="H63" i="74"/>
  <c r="I93" i="74"/>
  <c r="P67" i="72"/>
  <c r="F1069" i="93"/>
  <c r="F1076" i="93" s="1"/>
  <c r="F120" i="74"/>
  <c r="C1069" i="93"/>
  <c r="C1076" i="93" s="1"/>
  <c r="C120" i="74"/>
  <c r="K1011" i="93"/>
  <c r="K1019" i="93" s="1"/>
  <c r="K63" i="74"/>
  <c r="E980" i="93"/>
  <c r="E988" i="93" s="1"/>
  <c r="E32" i="74"/>
  <c r="C64" i="74"/>
  <c r="E120" i="74"/>
  <c r="C63" i="74"/>
  <c r="C32" i="74"/>
  <c r="C1042" i="93"/>
  <c r="C1049" i="93" s="1"/>
  <c r="C93" i="74"/>
  <c r="B982" i="93"/>
  <c r="B990" i="93" s="1"/>
  <c r="B34" i="74"/>
  <c r="D1042" i="93"/>
  <c r="D1049" i="93" s="1"/>
  <c r="D93" i="74"/>
  <c r="D1010" i="93"/>
  <c r="D1018" i="93" s="1"/>
  <c r="D62" i="74"/>
  <c r="K980" i="93"/>
  <c r="K988" i="93" s="1"/>
  <c r="K32" i="74"/>
  <c r="G1042" i="93"/>
  <c r="G1049" i="93" s="1"/>
  <c r="G93" i="74"/>
  <c r="I1041" i="93"/>
  <c r="I1048" i="93" s="1"/>
  <c r="I92" i="74"/>
  <c r="F980" i="93"/>
  <c r="F988" i="93" s="1"/>
  <c r="F32" i="74"/>
  <c r="K1010" i="93"/>
  <c r="K1018" i="93" s="1"/>
  <c r="K62" i="74"/>
  <c r="D1070" i="93"/>
  <c r="D1077" i="93" s="1"/>
  <c r="D121" i="74"/>
  <c r="V132" i="78"/>
  <c r="L229" i="72"/>
  <c r="L1783" i="93" s="1"/>
  <c r="P1743" i="93"/>
  <c r="D33" i="74"/>
  <c r="B1041" i="93"/>
  <c r="B1048" i="93" s="1"/>
  <c r="B92" i="74"/>
  <c r="I1011" i="93"/>
  <c r="I1019" i="93" s="1"/>
  <c r="I63" i="74"/>
  <c r="K33" i="74"/>
  <c r="B1012" i="93"/>
  <c r="B1020" i="93" s="1"/>
  <c r="B64" i="74"/>
  <c r="C1010" i="93"/>
  <c r="C1018" i="93" s="1"/>
  <c r="C62" i="74"/>
  <c r="I55" i="84"/>
  <c r="G55" i="84"/>
  <c r="E55" i="84"/>
  <c r="K55" i="84"/>
  <c r="D1012" i="93"/>
  <c r="D1020" i="93" s="1"/>
  <c r="D64" i="74"/>
  <c r="G982" i="93"/>
  <c r="G990" i="93" s="1"/>
  <c r="G34" i="74"/>
  <c r="J1041" i="93"/>
  <c r="J1048" i="93" s="1"/>
  <c r="J92" i="74"/>
  <c r="G981" i="93"/>
  <c r="G989" i="93" s="1"/>
  <c r="G33" i="74"/>
  <c r="D11" i="86"/>
  <c r="F12" i="86"/>
  <c r="G31" i="86"/>
  <c r="F976" i="93"/>
  <c r="F992" i="93" s="1"/>
  <c r="A561" i="93"/>
  <c r="U561" i="93"/>
  <c r="A540" i="93"/>
  <c r="U540" i="93"/>
  <c r="P1611" i="93"/>
  <c r="O1648" i="93"/>
  <c r="O1900" i="93"/>
  <c r="F13" i="85"/>
  <c r="C12" i="86"/>
  <c r="I12" i="86"/>
  <c r="E12" i="86"/>
  <c r="F11" i="86"/>
  <c r="E32" i="86"/>
  <c r="I32" i="86"/>
  <c r="C51" i="86"/>
  <c r="E51" i="86"/>
  <c r="E52" i="86"/>
  <c r="F549" i="93"/>
  <c r="F553" i="93"/>
  <c r="F552" i="93"/>
  <c r="E976" i="93"/>
  <c r="N403" i="93"/>
  <c r="G469" i="93"/>
  <c r="S469" i="93"/>
  <c r="M519" i="93"/>
  <c r="S519" i="93"/>
  <c r="P566" i="93"/>
  <c r="E33" i="74"/>
  <c r="E64" i="74"/>
  <c r="D85" i="74"/>
  <c r="E55" i="74"/>
  <c r="B55" i="74"/>
  <c r="F85" i="74"/>
  <c r="H25" i="74"/>
  <c r="B25" i="74"/>
  <c r="G55" i="74"/>
  <c r="K85" i="74"/>
  <c r="D13" i="74"/>
  <c r="E13" i="74" s="1"/>
  <c r="F13" i="74" s="1"/>
  <c r="G13" i="74" s="1"/>
  <c r="E33" i="72"/>
  <c r="E1587" i="93" s="1"/>
  <c r="A2" i="83"/>
  <c r="F15" i="85"/>
  <c r="C11" i="86"/>
  <c r="H12" i="86"/>
  <c r="I11" i="86"/>
  <c r="E11" i="86"/>
  <c r="D32" i="86"/>
  <c r="F31" i="86"/>
  <c r="H32" i="86"/>
  <c r="H51" i="86"/>
  <c r="D51" i="86"/>
  <c r="F52" i="86"/>
  <c r="F972" i="93"/>
  <c r="M453" i="93"/>
  <c r="J463" i="93"/>
  <c r="A526" i="93"/>
  <c r="U526" i="93"/>
  <c r="G527" i="93"/>
  <c r="I26" i="74"/>
  <c r="C139" i="90"/>
  <c r="E5" i="89"/>
  <c r="D15" i="83"/>
  <c r="H1" i="91"/>
  <c r="D12" i="86"/>
  <c r="G12" i="86"/>
  <c r="H11" i="86"/>
  <c r="C32" i="86"/>
  <c r="E31" i="86"/>
  <c r="G32" i="86"/>
  <c r="I31" i="86"/>
  <c r="G51" i="86"/>
  <c r="C52" i="86"/>
  <c r="G52" i="86"/>
  <c r="A2" i="88"/>
  <c r="E170" i="90"/>
  <c r="F473" i="93"/>
  <c r="F471" i="93"/>
  <c r="F470" i="93" s="1"/>
  <c r="F472" i="93"/>
  <c r="U451" i="93"/>
  <c r="A451" i="93"/>
  <c r="P582" i="93"/>
  <c r="P586" i="93" s="1"/>
  <c r="I730" i="93"/>
  <c r="L746" i="93"/>
  <c r="EC801" i="93"/>
  <c r="CD801" i="93"/>
  <c r="BF801" i="93"/>
  <c r="AD801" i="93"/>
  <c r="BS801" i="93"/>
  <c r="AL801" i="93"/>
  <c r="BJ801" i="93"/>
  <c r="CP801" i="93"/>
  <c r="AX801" i="93"/>
  <c r="CA801" i="93"/>
  <c r="AM801" i="93"/>
  <c r="IV801" i="93"/>
  <c r="EN801" i="93"/>
  <c r="DH801" i="93"/>
  <c r="BN801" i="93"/>
  <c r="W801" i="93"/>
  <c r="DS801" i="93"/>
  <c r="AE801" i="93"/>
  <c r="IT801" i="93"/>
  <c r="ID801" i="93"/>
  <c r="EL801" i="93"/>
  <c r="DV801" i="93"/>
  <c r="DF801" i="93"/>
  <c r="IS801" i="93"/>
  <c r="IE801" i="93"/>
  <c r="ER801" i="93"/>
  <c r="DW801" i="93"/>
  <c r="CK801" i="93"/>
  <c r="BE801" i="93"/>
  <c r="AO801" i="93"/>
  <c r="Y801" i="93"/>
  <c r="IR801" i="93"/>
  <c r="EF801" i="93"/>
  <c r="DK801" i="93"/>
  <c r="CR801" i="93"/>
  <c r="CB801" i="93"/>
  <c r="BL801" i="93"/>
  <c r="AV801" i="93"/>
  <c r="AF801" i="93"/>
  <c r="AI801" i="93"/>
  <c r="BO801" i="93"/>
  <c r="EJ801" i="93"/>
  <c r="EO801" i="93"/>
  <c r="DI801" i="93"/>
  <c r="A801" i="93"/>
  <c r="IN801" i="93"/>
  <c r="BC801" i="93"/>
  <c r="IF801" i="93"/>
  <c r="BK801" i="93"/>
  <c r="IP801" i="93"/>
  <c r="DM801" i="93"/>
  <c r="EI801" i="93"/>
  <c r="CI801" i="93"/>
  <c r="AT801" i="93"/>
  <c r="ES801" i="93"/>
  <c r="CQ801" i="93"/>
  <c r="BB801" i="93"/>
  <c r="IL797" i="93"/>
  <c r="EI797" i="93"/>
  <c r="DN797" i="93"/>
  <c r="CM797" i="93"/>
  <c r="CB797" i="93"/>
  <c r="BR797" i="93"/>
  <c r="BG797" i="93"/>
  <c r="AV797" i="93"/>
  <c r="AN797" i="93"/>
  <c r="AF797" i="93"/>
  <c r="X797" i="93"/>
  <c r="IX797" i="93"/>
  <c r="IH797" i="93"/>
  <c r="EE797" i="93"/>
  <c r="DJ797" i="93"/>
  <c r="CI797" i="93"/>
  <c r="BN797" i="93"/>
  <c r="BC797" i="93"/>
  <c r="AS797" i="93"/>
  <c r="AK797" i="93"/>
  <c r="AC797" i="93"/>
  <c r="IV797" i="93"/>
  <c r="IF797" i="93"/>
  <c r="ET797" i="93"/>
  <c r="DX797" i="93"/>
  <c r="CR797" i="93"/>
  <c r="CH797" i="93"/>
  <c r="BL797" i="93"/>
  <c r="BB797" i="93"/>
  <c r="AR797" i="93"/>
  <c r="AJ797" i="93"/>
  <c r="AB797" i="93"/>
  <c r="DT797" i="93"/>
  <c r="AO797" i="93"/>
  <c r="CN797" i="93"/>
  <c r="BS797" i="93"/>
  <c r="AG797" i="93"/>
  <c r="CD797" i="93"/>
  <c r="BH797" i="93"/>
  <c r="Y797" i="93"/>
  <c r="IR797" i="93"/>
  <c r="DH797" i="93"/>
  <c r="EJ797" i="93"/>
  <c r="IU797" i="93"/>
  <c r="ER797" i="93"/>
  <c r="DW797" i="93"/>
  <c r="CF797" i="93"/>
  <c r="BK797" i="93"/>
  <c r="AQ797" i="93"/>
  <c r="AA797" i="93"/>
  <c r="IN797" i="93"/>
  <c r="EQ797" i="93"/>
  <c r="DV797" i="93"/>
  <c r="CE797" i="93"/>
  <c r="BJ797" i="93"/>
  <c r="AP797" i="93"/>
  <c r="Z797" i="93"/>
  <c r="IO797" i="93"/>
  <c r="EG797" i="93"/>
  <c r="DQ797" i="93"/>
  <c r="CK797" i="93"/>
  <c r="BE797" i="93"/>
  <c r="AX797" i="93"/>
  <c r="EN797" i="93"/>
  <c r="JB797" i="93"/>
  <c r="DZ797" i="93"/>
  <c r="IP797" i="93"/>
  <c r="EM797" i="93"/>
  <c r="DR797" i="93"/>
  <c r="CA797" i="93"/>
  <c r="BF797" i="93"/>
  <c r="AM797" i="93"/>
  <c r="W797" i="93"/>
  <c r="II797" i="93"/>
  <c r="EL797" i="93"/>
  <c r="DP797" i="93"/>
  <c r="BZ797" i="93"/>
  <c r="BD797" i="93"/>
  <c r="AL797" i="93"/>
  <c r="JA797" i="93"/>
  <c r="IK797" i="93"/>
  <c r="ES797" i="93"/>
  <c r="EC797" i="93"/>
  <c r="DM797" i="93"/>
  <c r="CG797" i="93"/>
  <c r="BQ797" i="93"/>
  <c r="BA797" i="93"/>
  <c r="IM797" i="93"/>
  <c r="EP797" i="93"/>
  <c r="ED797" i="93"/>
  <c r="IQ797" i="93"/>
  <c r="DO797" i="93"/>
  <c r="IJ797" i="93"/>
  <c r="EH797" i="93"/>
  <c r="DL797" i="93"/>
  <c r="CQ797" i="93"/>
  <c r="AZ797" i="93"/>
  <c r="AI797" i="93"/>
  <c r="IY797" i="93"/>
  <c r="ID797" i="93"/>
  <c r="EF797" i="93"/>
  <c r="DK797" i="93"/>
  <c r="CP797" i="93"/>
  <c r="BT797" i="93"/>
  <c r="AY797" i="93"/>
  <c r="AH797" i="93"/>
  <c r="JB793" i="93"/>
  <c r="IR793" i="93"/>
  <c r="IJ793" i="93"/>
  <c r="ID793" i="93"/>
  <c r="EP793" i="93"/>
  <c r="EF793" i="93"/>
  <c r="DU793" i="93"/>
  <c r="DJ793" i="93"/>
  <c r="CP793" i="93"/>
  <c r="CK793" i="93"/>
  <c r="CF793" i="93"/>
  <c r="BZ793" i="93"/>
  <c r="BP793" i="93"/>
  <c r="BJ793" i="93"/>
  <c r="BE793" i="93"/>
  <c r="AZ793" i="93"/>
  <c r="AT793" i="93"/>
  <c r="AO793" i="93"/>
  <c r="AJ793" i="93"/>
  <c r="AE793" i="93"/>
  <c r="AA793" i="93"/>
  <c r="W793" i="93"/>
  <c r="IX793" i="93"/>
  <c r="IN793" i="93"/>
  <c r="IH793" i="93"/>
  <c r="EL793" i="93"/>
  <c r="EB793" i="93"/>
  <c r="DQ793" i="93"/>
  <c r="DF793" i="93"/>
  <c r="CO793" i="93"/>
  <c r="CJ793" i="93"/>
  <c r="CD793" i="93"/>
  <c r="BT793" i="93"/>
  <c r="BN793" i="93"/>
  <c r="BI793" i="93"/>
  <c r="BD793" i="93"/>
  <c r="AX793" i="93"/>
  <c r="AS793" i="93"/>
  <c r="AN793" i="93"/>
  <c r="AH793" i="93"/>
  <c r="AD793" i="93"/>
  <c r="Z793" i="93"/>
  <c r="IW793" i="93"/>
  <c r="IL793" i="93"/>
  <c r="IG793" i="93"/>
  <c r="EG793" i="93"/>
  <c r="DL793" i="93"/>
  <c r="CL793" i="93"/>
  <c r="CB793" i="93"/>
  <c r="BL793" i="93"/>
  <c r="BA793" i="93"/>
  <c r="AP793" i="93"/>
  <c r="AF793" i="93"/>
  <c r="X793" i="93"/>
  <c r="IS793" i="93"/>
  <c r="EV793" i="93"/>
  <c r="DZ793" i="93"/>
  <c r="DE793" i="93"/>
  <c r="CS793" i="93"/>
  <c r="CH793" i="93"/>
  <c r="BR793" i="93"/>
  <c r="BH793" i="93"/>
  <c r="AW793" i="93"/>
  <c r="AL793" i="93"/>
  <c r="AC793" i="93"/>
  <c r="IK793" i="93"/>
  <c r="ER793" i="93"/>
  <c r="DV793" i="93"/>
  <c r="CR793" i="93"/>
  <c r="CG793" i="93"/>
  <c r="BQ793" i="93"/>
  <c r="BF793" i="93"/>
  <c r="AV793" i="93"/>
  <c r="AK793" i="93"/>
  <c r="AB793" i="93"/>
  <c r="BM793" i="93"/>
  <c r="Y793" i="93"/>
  <c r="IV793" i="93"/>
  <c r="EJ793" i="93"/>
  <c r="DN793" i="93"/>
  <c r="IZ793" i="93"/>
  <c r="EN793" i="93"/>
  <c r="DR793" i="93"/>
  <c r="IU793" i="93"/>
  <c r="IE793" i="93"/>
  <c r="EI793" i="93"/>
  <c r="DS793" i="93"/>
  <c r="CM793" i="93"/>
  <c r="BG793" i="93"/>
  <c r="AQ793" i="93"/>
  <c r="EK793" i="93"/>
  <c r="BB793" i="93"/>
  <c r="IP793" i="93"/>
  <c r="ED793" i="93"/>
  <c r="DI793" i="93"/>
  <c r="IT793" i="93"/>
  <c r="EH793" i="93"/>
  <c r="DM793" i="93"/>
  <c r="IQ793" i="93"/>
  <c r="EU793" i="93"/>
  <c r="EE793" i="93"/>
  <c r="DO793" i="93"/>
  <c r="CI793" i="93"/>
  <c r="BS793" i="93"/>
  <c r="BC793" i="93"/>
  <c r="AM793" i="93"/>
  <c r="DP793" i="93"/>
  <c r="CN793" i="93"/>
  <c r="AR793" i="93"/>
  <c r="ET793" i="93"/>
  <c r="DY793" i="93"/>
  <c r="DD793" i="93"/>
  <c r="IO793" i="93"/>
  <c r="EC793" i="93"/>
  <c r="DH793" i="93"/>
  <c r="IM793" i="93"/>
  <c r="EQ793" i="93"/>
  <c r="EA793" i="93"/>
  <c r="DK793" i="93"/>
  <c r="CE793" i="93"/>
  <c r="BO793" i="93"/>
  <c r="AY793" i="93"/>
  <c r="AI793" i="93"/>
  <c r="JB789" i="93"/>
  <c r="IT789" i="93"/>
  <c r="IL789" i="93"/>
  <c r="IH789" i="93"/>
  <c r="ID789" i="93"/>
  <c r="EQ789" i="93"/>
  <c r="EI789" i="93"/>
  <c r="EA789" i="93"/>
  <c r="DS789" i="93"/>
  <c r="DK789" i="93"/>
  <c r="CQ789" i="93"/>
  <c r="CM789" i="93"/>
  <c r="CI789" i="93"/>
  <c r="CE789" i="93"/>
  <c r="CA789" i="93"/>
  <c r="BS789" i="93"/>
  <c r="BO789" i="93"/>
  <c r="BK789" i="93"/>
  <c r="BG789" i="93"/>
  <c r="BC789" i="93"/>
  <c r="AY789" i="93"/>
  <c r="AU789" i="93"/>
  <c r="AQ789" i="93"/>
  <c r="AM789" i="93"/>
  <c r="AI789" i="93"/>
  <c r="AE789" i="93"/>
  <c r="AA789" i="93"/>
  <c r="W789" i="93"/>
  <c r="IQ789" i="93"/>
  <c r="IJ789" i="93"/>
  <c r="IE789" i="93"/>
  <c r="EP789" i="93"/>
  <c r="EE789" i="93"/>
  <c r="DV789" i="93"/>
  <c r="DJ789" i="93"/>
  <c r="CO789" i="93"/>
  <c r="CJ789" i="93"/>
  <c r="CD789" i="93"/>
  <c r="BP789" i="93"/>
  <c r="BJ789" i="93"/>
  <c r="BE789" i="93"/>
  <c r="AZ789" i="93"/>
  <c r="AT789" i="93"/>
  <c r="AO789" i="93"/>
  <c r="AJ789" i="93"/>
  <c r="AD789" i="93"/>
  <c r="Y789" i="93"/>
  <c r="IY789" i="93"/>
  <c r="IP789" i="93"/>
  <c r="II789" i="93"/>
  <c r="EM789" i="93"/>
  <c r="ED789" i="93"/>
  <c r="DR789" i="93"/>
  <c r="DG789" i="93"/>
  <c r="CS789" i="93"/>
  <c r="CN789" i="93"/>
  <c r="CH789" i="93"/>
  <c r="CC789" i="93"/>
  <c r="BT789" i="93"/>
  <c r="BN789" i="93"/>
  <c r="BI789" i="93"/>
  <c r="BD789" i="93"/>
  <c r="AX789" i="93"/>
  <c r="AS789" i="93"/>
  <c r="AN789" i="93"/>
  <c r="AH789" i="93"/>
  <c r="AC789" i="93"/>
  <c r="X789" i="93"/>
  <c r="IX789" i="93"/>
  <c r="IM789" i="93"/>
  <c r="IG789" i="93"/>
  <c r="EU789" i="93"/>
  <c r="EL789" i="93"/>
  <c r="DZ789" i="93"/>
  <c r="DO789" i="93"/>
  <c r="DF789" i="93"/>
  <c r="CR789" i="93"/>
  <c r="CL789" i="93"/>
  <c r="CG789" i="93"/>
  <c r="CB789" i="93"/>
  <c r="BR789" i="93"/>
  <c r="BM789" i="93"/>
  <c r="BH789" i="93"/>
  <c r="BB789" i="93"/>
  <c r="AW789" i="93"/>
  <c r="AR789" i="93"/>
  <c r="AL789" i="93"/>
  <c r="AG789" i="93"/>
  <c r="AB789" i="93"/>
  <c r="DN789" i="93"/>
  <c r="CK789" i="93"/>
  <c r="BQ789" i="93"/>
  <c r="AV789" i="93"/>
  <c r="Z789" i="93"/>
  <c r="IS789" i="93"/>
  <c r="EK789" i="93"/>
  <c r="DU789" i="93"/>
  <c r="DE789" i="93"/>
  <c r="IR789" i="93"/>
  <c r="EN789" i="93"/>
  <c r="DX789" i="93"/>
  <c r="DH789" i="93"/>
  <c r="IU789" i="93"/>
  <c r="ET789" i="93"/>
  <c r="CF789" i="93"/>
  <c r="BL789" i="93"/>
  <c r="AP789" i="93"/>
  <c r="IO789" i="93"/>
  <c r="EG789" i="93"/>
  <c r="DQ789" i="93"/>
  <c r="IN789" i="93"/>
  <c r="EJ789" i="93"/>
  <c r="DT789" i="93"/>
  <c r="DD789" i="93"/>
  <c r="IK789" i="93"/>
  <c r="EH789" i="93"/>
  <c r="BZ789" i="93"/>
  <c r="BF789" i="93"/>
  <c r="AK789" i="93"/>
  <c r="JA789" i="93"/>
  <c r="ES789" i="93"/>
  <c r="EC789" i="93"/>
  <c r="DM789" i="93"/>
  <c r="IZ789" i="93"/>
  <c r="EV789" i="93"/>
  <c r="EF789" i="93"/>
  <c r="DP789" i="93"/>
  <c r="IZ785" i="93"/>
  <c r="IR785" i="93"/>
  <c r="IL785" i="93"/>
  <c r="IH785" i="93"/>
  <c r="ID785" i="93"/>
  <c r="ER785" i="93"/>
  <c r="EJ785" i="93"/>
  <c r="EB785" i="93"/>
  <c r="DT785" i="93"/>
  <c r="DL785" i="93"/>
  <c r="DD785" i="93"/>
  <c r="CR785" i="93"/>
  <c r="CN785" i="93"/>
  <c r="CJ785" i="93"/>
  <c r="CF785" i="93"/>
  <c r="CB785" i="93"/>
  <c r="BT785" i="93"/>
  <c r="BP785" i="93"/>
  <c r="BL785" i="93"/>
  <c r="BH785" i="93"/>
  <c r="BD785" i="93"/>
  <c r="AZ785" i="93"/>
  <c r="AV785" i="93"/>
  <c r="AR785" i="93"/>
  <c r="AN785" i="93"/>
  <c r="AJ785" i="93"/>
  <c r="AF785" i="93"/>
  <c r="AB785" i="93"/>
  <c r="X785" i="93"/>
  <c r="IW785" i="93"/>
  <c r="IO785" i="93"/>
  <c r="IK785" i="93"/>
  <c r="IG785" i="93"/>
  <c r="EO785" i="93"/>
  <c r="EG785" i="93"/>
  <c r="DY785" i="93"/>
  <c r="DQ785" i="93"/>
  <c r="DI785" i="93"/>
  <c r="CQ785" i="93"/>
  <c r="CM785" i="93"/>
  <c r="CI785" i="93"/>
  <c r="CE785" i="93"/>
  <c r="CA785" i="93"/>
  <c r="BS785" i="93"/>
  <c r="BO785" i="93"/>
  <c r="BK785" i="93"/>
  <c r="BG785" i="93"/>
  <c r="BC785" i="93"/>
  <c r="AY785" i="93"/>
  <c r="AU785" i="93"/>
  <c r="AQ785" i="93"/>
  <c r="AM785" i="93"/>
  <c r="AI785" i="93"/>
  <c r="AE785" i="93"/>
  <c r="AA785" i="93"/>
  <c r="W785" i="93"/>
  <c r="IV785" i="93"/>
  <c r="IN785" i="93"/>
  <c r="IJ785" i="93"/>
  <c r="IF785" i="93"/>
  <c r="EV785" i="93"/>
  <c r="EN785" i="93"/>
  <c r="EF785" i="93"/>
  <c r="DX785" i="93"/>
  <c r="DP785" i="93"/>
  <c r="DH785" i="93"/>
  <c r="CP785" i="93"/>
  <c r="CL785" i="93"/>
  <c r="CH785" i="93"/>
  <c r="CD785" i="93"/>
  <c r="BZ785" i="93"/>
  <c r="BR785" i="93"/>
  <c r="BN785" i="93"/>
  <c r="BJ785" i="93"/>
  <c r="BF785" i="93"/>
  <c r="BB785" i="93"/>
  <c r="AX785" i="93"/>
  <c r="AT785" i="93"/>
  <c r="AP785" i="93"/>
  <c r="AL785" i="93"/>
  <c r="AH785" i="93"/>
  <c r="AD785" i="93"/>
  <c r="Z785" i="93"/>
  <c r="JA785" i="93"/>
  <c r="IE785" i="93"/>
  <c r="EC785" i="93"/>
  <c r="CK785" i="93"/>
  <c r="BQ785" i="93"/>
  <c r="BA785" i="93"/>
  <c r="AK785" i="93"/>
  <c r="IY785" i="93"/>
  <c r="EQ785" i="93"/>
  <c r="EA785" i="93"/>
  <c r="DK785" i="93"/>
  <c r="IT785" i="93"/>
  <c r="EL785" i="93"/>
  <c r="DV785" i="93"/>
  <c r="DF785" i="93"/>
  <c r="IS785" i="93"/>
  <c r="DU785" i="93"/>
  <c r="CG785" i="93"/>
  <c r="BM785" i="93"/>
  <c r="AW785" i="93"/>
  <c r="AG785" i="93"/>
  <c r="IU785" i="93"/>
  <c r="EM785" i="93"/>
  <c r="DW785" i="93"/>
  <c r="DG785" i="93"/>
  <c r="IP785" i="93"/>
  <c r="EH785" i="93"/>
  <c r="DR785" i="93"/>
  <c r="IM785" i="93"/>
  <c r="ES785" i="93"/>
  <c r="DM785" i="93"/>
  <c r="CS785" i="93"/>
  <c r="CC785" i="93"/>
  <c r="BI785" i="93"/>
  <c r="AS785" i="93"/>
  <c r="AC785" i="93"/>
  <c r="IQ785" i="93"/>
  <c r="EI785" i="93"/>
  <c r="DS785" i="93"/>
  <c r="JB785" i="93"/>
  <c r="ET785" i="93"/>
  <c r="ED785" i="93"/>
  <c r="DN785" i="93"/>
  <c r="IX781" i="93"/>
  <c r="IR781" i="93"/>
  <c r="IM781" i="93"/>
  <c r="II781" i="93"/>
  <c r="IE781" i="93"/>
  <c r="EU781" i="93"/>
  <c r="EP781" i="93"/>
  <c r="EJ781" i="93"/>
  <c r="EE781" i="93"/>
  <c r="DZ781" i="93"/>
  <c r="DT781" i="93"/>
  <c r="DO781" i="93"/>
  <c r="DJ781" i="93"/>
  <c r="DD781" i="93"/>
  <c r="CR781" i="93"/>
  <c r="CN781" i="93"/>
  <c r="CJ781" i="93"/>
  <c r="CF781" i="93"/>
  <c r="CB781" i="93"/>
  <c r="BT781" i="93"/>
  <c r="BP781" i="93"/>
  <c r="BL781" i="93"/>
  <c r="BH781" i="93"/>
  <c r="BD781" i="93"/>
  <c r="AZ781" i="93"/>
  <c r="AV781" i="93"/>
  <c r="AR781" i="93"/>
  <c r="AN781" i="93"/>
  <c r="AJ781" i="93"/>
  <c r="AF781" i="93"/>
  <c r="AB781" i="93"/>
  <c r="X781" i="93"/>
  <c r="JB781" i="93"/>
  <c r="IV781" i="93"/>
  <c r="IQ781" i="93"/>
  <c r="IL781" i="93"/>
  <c r="IH781" i="93"/>
  <c r="ID781" i="93"/>
  <c r="ET781" i="93"/>
  <c r="EN781" i="93"/>
  <c r="EI781" i="93"/>
  <c r="ED781" i="93"/>
  <c r="DX781" i="93"/>
  <c r="DS781" i="93"/>
  <c r="DN781" i="93"/>
  <c r="DH781" i="93"/>
  <c r="CQ781" i="93"/>
  <c r="CM781" i="93"/>
  <c r="CI781" i="93"/>
  <c r="CE781" i="93"/>
  <c r="CA781" i="93"/>
  <c r="BS781" i="93"/>
  <c r="BO781" i="93"/>
  <c r="BK781" i="93"/>
  <c r="BG781" i="93"/>
  <c r="BC781" i="93"/>
  <c r="AY781" i="93"/>
  <c r="AU781" i="93"/>
  <c r="AQ781" i="93"/>
  <c r="AM781" i="93"/>
  <c r="AI781" i="93"/>
  <c r="AE781" i="93"/>
  <c r="AA781" i="93"/>
  <c r="W781" i="93"/>
  <c r="IZ781" i="93"/>
  <c r="IU781" i="93"/>
  <c r="IP781" i="93"/>
  <c r="IK781" i="93"/>
  <c r="IG781" i="93"/>
  <c r="ER781" i="93"/>
  <c r="EM781" i="93"/>
  <c r="EH781" i="93"/>
  <c r="EB781" i="93"/>
  <c r="DW781" i="93"/>
  <c r="DR781" i="93"/>
  <c r="DL781" i="93"/>
  <c r="DG781" i="93"/>
  <c r="CP781" i="93"/>
  <c r="CL781" i="93"/>
  <c r="CH781" i="93"/>
  <c r="CD781" i="93"/>
  <c r="BZ781" i="93"/>
  <c r="BR781" i="93"/>
  <c r="BN781" i="93"/>
  <c r="BJ781" i="93"/>
  <c r="BF781" i="93"/>
  <c r="BB781" i="93"/>
  <c r="AX781" i="93"/>
  <c r="AT781" i="93"/>
  <c r="AP781" i="93"/>
  <c r="IY781" i="93"/>
  <c r="IF781" i="93"/>
  <c r="EL781" i="93"/>
  <c r="DP781" i="93"/>
  <c r="CG781" i="93"/>
  <c r="BM781" i="93"/>
  <c r="AW781" i="93"/>
  <c r="AK781" i="93"/>
  <c r="AC781" i="93"/>
  <c r="JA781" i="93"/>
  <c r="ES781" i="93"/>
  <c r="EC781" i="93"/>
  <c r="DM781" i="93"/>
  <c r="IT781" i="93"/>
  <c r="EF781" i="93"/>
  <c r="DK781" i="93"/>
  <c r="CS781" i="93"/>
  <c r="CC781" i="93"/>
  <c r="BI781" i="93"/>
  <c r="AS781" i="93"/>
  <c r="AH781" i="93"/>
  <c r="Z781" i="93"/>
  <c r="IW781" i="93"/>
  <c r="EO781" i="93"/>
  <c r="DY781" i="93"/>
  <c r="DI781" i="93"/>
  <c r="IN781" i="93"/>
  <c r="EV781" i="93"/>
  <c r="EA781" i="93"/>
  <c r="DF781" i="93"/>
  <c r="CO781" i="93"/>
  <c r="BE781" i="93"/>
  <c r="AO781" i="93"/>
  <c r="AG781" i="93"/>
  <c r="Y781" i="93"/>
  <c r="IS781" i="93"/>
  <c r="EK781" i="93"/>
  <c r="DU781" i="93"/>
  <c r="DE781" i="93"/>
  <c r="A781" i="93"/>
  <c r="IY777" i="93"/>
  <c r="IS777" i="93"/>
  <c r="IN777" i="93"/>
  <c r="IJ777" i="93"/>
  <c r="IF777" i="93"/>
  <c r="EV777" i="93"/>
  <c r="EQ777" i="93"/>
  <c r="EK777" i="93"/>
  <c r="EF777" i="93"/>
  <c r="EA777" i="93"/>
  <c r="DU777" i="93"/>
  <c r="DP777" i="93"/>
  <c r="DK777" i="93"/>
  <c r="DF777" i="93"/>
  <c r="CP777" i="93"/>
  <c r="CL777" i="93"/>
  <c r="CH777" i="93"/>
  <c r="CD777" i="93"/>
  <c r="BZ777" i="93"/>
  <c r="BR777" i="93"/>
  <c r="BN777" i="93"/>
  <c r="BJ777" i="93"/>
  <c r="BF777" i="93"/>
  <c r="BB777" i="93"/>
  <c r="AX777" i="93"/>
  <c r="AT777" i="93"/>
  <c r="AP777" i="93"/>
  <c r="AL777" i="93"/>
  <c r="AH777" i="93"/>
  <c r="AD777" i="93"/>
  <c r="Z777" i="93"/>
  <c r="IW777" i="93"/>
  <c r="IR777" i="93"/>
  <c r="IM777" i="93"/>
  <c r="II777" i="93"/>
  <c r="IE777" i="93"/>
  <c r="EU777" i="93"/>
  <c r="EO777" i="93"/>
  <c r="EJ777" i="93"/>
  <c r="EE777" i="93"/>
  <c r="DY777" i="93"/>
  <c r="DT777" i="93"/>
  <c r="DO777" i="93"/>
  <c r="DI777" i="93"/>
  <c r="DE777" i="93"/>
  <c r="CS777" i="93"/>
  <c r="CO777" i="93"/>
  <c r="CK777" i="93"/>
  <c r="CG777" i="93"/>
  <c r="CC777" i="93"/>
  <c r="BQ777" i="93"/>
  <c r="BM777" i="93"/>
  <c r="BI777" i="93"/>
  <c r="BE777" i="93"/>
  <c r="BA777" i="93"/>
  <c r="AW777" i="93"/>
  <c r="AS777" i="93"/>
  <c r="AO777" i="93"/>
  <c r="AK777" i="93"/>
  <c r="AG777" i="93"/>
  <c r="AC777" i="93"/>
  <c r="Y777" i="93"/>
  <c r="IZ777" i="93"/>
  <c r="IO777" i="93"/>
  <c r="IG777" i="93"/>
  <c r="ER777" i="93"/>
  <c r="EG777" i="93"/>
  <c r="DW777" i="93"/>
  <c r="DL777" i="93"/>
  <c r="CN777" i="93"/>
  <c r="CF777" i="93"/>
  <c r="BO777" i="93"/>
  <c r="BG777" i="93"/>
  <c r="AY777" i="93"/>
  <c r="AQ777" i="93"/>
  <c r="AI777" i="93"/>
  <c r="AA777" i="93"/>
  <c r="IP777" i="93"/>
  <c r="EH777" i="93"/>
  <c r="DR777" i="93"/>
  <c r="A777" i="93"/>
  <c r="IV777" i="93"/>
  <c r="IL777" i="93"/>
  <c r="ID777" i="93"/>
  <c r="EN777" i="93"/>
  <c r="EC777" i="93"/>
  <c r="DS777" i="93"/>
  <c r="DH777" i="93"/>
  <c r="CM777" i="93"/>
  <c r="CE777" i="93"/>
  <c r="BT777" i="93"/>
  <c r="BL777" i="93"/>
  <c r="BD777" i="93"/>
  <c r="AV777" i="93"/>
  <c r="AN777" i="93"/>
  <c r="AF777" i="93"/>
  <c r="X777" i="93"/>
  <c r="JB777" i="93"/>
  <c r="ET777" i="93"/>
  <c r="ED777" i="93"/>
  <c r="DN777" i="93"/>
  <c r="IU777" i="93"/>
  <c r="IK777" i="93"/>
  <c r="EM777" i="93"/>
  <c r="EB777" i="93"/>
  <c r="DQ777" i="93"/>
  <c r="DG777" i="93"/>
  <c r="CR777" i="93"/>
  <c r="CJ777" i="93"/>
  <c r="CB777" i="93"/>
  <c r="BS777" i="93"/>
  <c r="BK777" i="93"/>
  <c r="BC777" i="93"/>
  <c r="AU777" i="93"/>
  <c r="AM777" i="93"/>
  <c r="AE777" i="93"/>
  <c r="W777" i="93"/>
  <c r="IX777" i="93"/>
  <c r="EP777" i="93"/>
  <c r="DZ777" i="93"/>
  <c r="DJ777" i="93"/>
  <c r="IJ772" i="93"/>
  <c r="BP772" i="93"/>
  <c r="AZ772" i="93"/>
  <c r="AJ772" i="93"/>
  <c r="JQ776" i="93"/>
  <c r="JM776" i="93"/>
  <c r="JI776" i="93"/>
  <c r="JE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DB776" i="93"/>
  <c r="CX776" i="93"/>
  <c r="CT776" i="93"/>
  <c r="BW776" i="93"/>
  <c r="AH776"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N776" i="93"/>
  <c r="JF776" i="93"/>
  <c r="HZ776" i="93"/>
  <c r="HR776" i="93"/>
  <c r="HJ776" i="93"/>
  <c r="HB776" i="93"/>
  <c r="GT776" i="93"/>
  <c r="GL776" i="93"/>
  <c r="GD776" i="93"/>
  <c r="FV776" i="93"/>
  <c r="FN776" i="93"/>
  <c r="FF776" i="93"/>
  <c r="EX776" i="93"/>
  <c r="CY776" i="93"/>
  <c r="BX776" i="93"/>
  <c r="JK776" i="93"/>
  <c r="JC776" i="93"/>
  <c r="HW776" i="93"/>
  <c r="HO776" i="93"/>
  <c r="HG776" i="93"/>
  <c r="GY776" i="93"/>
  <c r="GQ776" i="93"/>
  <c r="GI776" i="93"/>
  <c r="GA776" i="93"/>
  <c r="FS776" i="93"/>
  <c r="FK776" i="93"/>
  <c r="FC776" i="93"/>
  <c r="DK776" i="93"/>
  <c r="CV776" i="93"/>
  <c r="BU776" i="93"/>
  <c r="JJ776" i="93"/>
  <c r="IH776" i="93"/>
  <c r="HV776" i="93"/>
  <c r="HN776" i="93"/>
  <c r="HF776" i="93"/>
  <c r="GX776" i="93"/>
  <c r="GP776" i="93"/>
  <c r="GH776" i="93"/>
  <c r="FZ776" i="93"/>
  <c r="FR776" i="93"/>
  <c r="FJ776" i="93"/>
  <c r="FB776" i="93"/>
  <c r="DC776" i="93"/>
  <c r="CU776" i="93"/>
  <c r="BC776"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CV780" i="93"/>
  <c r="BY780" i="93"/>
  <c r="BU780"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IC784" i="93"/>
  <c r="HM784" i="93"/>
  <c r="GW784" i="93"/>
  <c r="GG784" i="93"/>
  <c r="FQ784" i="93"/>
  <c r="FA784" i="93"/>
  <c r="CT784" i="93"/>
  <c r="JL784" i="93"/>
  <c r="HY784" i="93"/>
  <c r="HI784" i="93"/>
  <c r="GS784" i="93"/>
  <c r="GC784" i="93"/>
  <c r="FM784" i="93"/>
  <c r="EW784" i="93"/>
  <c r="BW784" i="93"/>
  <c r="JH784" i="93"/>
  <c r="HU784" i="93"/>
  <c r="HE784" i="93"/>
  <c r="GO784" i="93"/>
  <c r="FY784" i="93"/>
  <c r="FI784" i="93"/>
  <c r="DB784" i="93"/>
  <c r="AF784" i="93"/>
  <c r="CV788" i="93"/>
  <c r="JN788" i="93"/>
  <c r="JJ788" i="93"/>
  <c r="JF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C788" i="93"/>
  <c r="CY788" i="93"/>
  <c r="CT788" i="93"/>
  <c r="JO788" i="93"/>
  <c r="JI788" i="93"/>
  <c r="JD788" i="93"/>
  <c r="IA788" i="93"/>
  <c r="HU788" i="93"/>
  <c r="HP788" i="93"/>
  <c r="HK788" i="93"/>
  <c r="HE788" i="93"/>
  <c r="GZ788" i="93"/>
  <c r="GU788" i="93"/>
  <c r="GO788" i="93"/>
  <c r="GJ788" i="93"/>
  <c r="GE788" i="93"/>
  <c r="FY788" i="93"/>
  <c r="FT788" i="93"/>
  <c r="FO788" i="93"/>
  <c r="FI788" i="93"/>
  <c r="FD788" i="93"/>
  <c r="EY788" i="93"/>
  <c r="DB788" i="93"/>
  <c r="CW788" i="93"/>
  <c r="BX788" i="93"/>
  <c r="BP788" i="93"/>
  <c r="JM788" i="93"/>
  <c r="JH788" i="93"/>
  <c r="JC788" i="93"/>
  <c r="HY788" i="93"/>
  <c r="HT788" i="93"/>
  <c r="HO788" i="93"/>
  <c r="HI788" i="93"/>
  <c r="HD788" i="93"/>
  <c r="GY788" i="93"/>
  <c r="GS788" i="93"/>
  <c r="GN788" i="93"/>
  <c r="GI788" i="93"/>
  <c r="GC788" i="93"/>
  <c r="FX788" i="93"/>
  <c r="FS788" i="93"/>
  <c r="FM788" i="93"/>
  <c r="FH788" i="93"/>
  <c r="FC788" i="93"/>
  <c r="EW788" i="93"/>
  <c r="DA788" i="93"/>
  <c r="CU788" i="93"/>
  <c r="BW788" i="93"/>
  <c r="AT788" i="93"/>
  <c r="JQ788" i="93"/>
  <c r="JL788" i="93"/>
  <c r="JG788" i="93"/>
  <c r="IC788" i="93"/>
  <c r="HX788" i="93"/>
  <c r="HS788" i="93"/>
  <c r="HM788" i="93"/>
  <c r="HH788" i="93"/>
  <c r="HC788" i="93"/>
  <c r="GW788" i="93"/>
  <c r="GR788" i="93"/>
  <c r="GM788" i="93"/>
  <c r="GG788" i="93"/>
  <c r="GB788" i="93"/>
  <c r="FW788" i="93"/>
  <c r="FQ788" i="93"/>
  <c r="FL788" i="93"/>
  <c r="FG788" i="93"/>
  <c r="FA788" i="93"/>
  <c r="EG788" i="93"/>
  <c r="CZ788" i="93"/>
  <c r="CO788" i="93"/>
  <c r="BV788" i="93"/>
  <c r="Y788" i="93"/>
  <c r="IB788" i="93"/>
  <c r="HG788" i="93"/>
  <c r="GK788" i="93"/>
  <c r="FP788" i="93"/>
  <c r="DL788" i="93"/>
  <c r="IM788" i="93"/>
  <c r="EQ788" i="93"/>
  <c r="EA788" i="93"/>
  <c r="DK788" i="93"/>
  <c r="CI788" i="93"/>
  <c r="BO788" i="93"/>
  <c r="AY788" i="93"/>
  <c r="AI788" i="93"/>
  <c r="JB788" i="93"/>
  <c r="IG788" i="93"/>
  <c r="EF788" i="93"/>
  <c r="DJ788" i="93"/>
  <c r="CH788" i="93"/>
  <c r="BI788" i="93"/>
  <c r="AN788" i="93"/>
  <c r="JA788" i="93"/>
  <c r="IF788" i="93"/>
  <c r="ED788" i="93"/>
  <c r="DI788" i="93"/>
  <c r="CG788" i="93"/>
  <c r="BH788" i="93"/>
  <c r="AL788" i="93"/>
  <c r="IT788" i="93"/>
  <c r="JP788" i="93"/>
  <c r="HW788" i="93"/>
  <c r="HA788" i="93"/>
  <c r="GF788" i="93"/>
  <c r="FK788" i="93"/>
  <c r="CX788" i="93"/>
  <c r="JK788" i="93"/>
  <c r="HQ788" i="93"/>
  <c r="GV788" i="93"/>
  <c r="GA788" i="93"/>
  <c r="FE788" i="93"/>
  <c r="BY788" i="93"/>
  <c r="CU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K792" i="93"/>
  <c r="JC792" i="93"/>
  <c r="HW792" i="93"/>
  <c r="HO792" i="93"/>
  <c r="HG792" i="93"/>
  <c r="GY792" i="93"/>
  <c r="GQ792" i="93"/>
  <c r="GI792" i="93"/>
  <c r="GA792" i="93"/>
  <c r="FS792" i="93"/>
  <c r="FK792" i="93"/>
  <c r="FC792" i="93"/>
  <c r="DC792" i="93"/>
  <c r="CT792" i="93"/>
  <c r="JP792" i="93"/>
  <c r="JH792" i="93"/>
  <c r="IB792" i="93"/>
  <c r="HT792" i="93"/>
  <c r="HL792" i="93"/>
  <c r="HD792" i="93"/>
  <c r="GV792" i="93"/>
  <c r="GN792" i="93"/>
  <c r="GF792" i="93"/>
  <c r="FX792" i="93"/>
  <c r="FP792" i="93"/>
  <c r="FH792" i="93"/>
  <c r="EZ792" i="93"/>
  <c r="CZ792" i="93"/>
  <c r="BX792" i="93"/>
  <c r="JO792" i="93"/>
  <c r="JG792" i="93"/>
  <c r="IA792" i="93"/>
  <c r="HS792" i="93"/>
  <c r="HK792" i="93"/>
  <c r="HC792" i="93"/>
  <c r="GU792" i="93"/>
  <c r="GM792" i="93"/>
  <c r="GE792" i="93"/>
  <c r="FW792" i="93"/>
  <c r="FO792" i="93"/>
  <c r="FG792" i="93"/>
  <c r="EY792" i="93"/>
  <c r="CY792" i="93"/>
  <c r="BW792" i="93"/>
  <c r="HP792" i="93"/>
  <c r="GJ792" i="93"/>
  <c r="FD792" i="93"/>
  <c r="IO792" i="93"/>
  <c r="EO792" i="93"/>
  <c r="DY792" i="93"/>
  <c r="DI792" i="93"/>
  <c r="CK792" i="93"/>
  <c r="BM792" i="93"/>
  <c r="AW792" i="93"/>
  <c r="AG792" i="93"/>
  <c r="IR792" i="93"/>
  <c r="EM792" i="93"/>
  <c r="DR792" i="93"/>
  <c r="CI792" i="93"/>
  <c r="BF792" i="93"/>
  <c r="AJ792" i="93"/>
  <c r="IP792" i="93"/>
  <c r="ED792" i="93"/>
  <c r="CM792" i="93"/>
  <c r="BJ792" i="93"/>
  <c r="AH792" i="93"/>
  <c r="IN792" i="93"/>
  <c r="EI792" i="93"/>
  <c r="DF792" i="93"/>
  <c r="BO792" i="93"/>
  <c r="AM792" i="93"/>
  <c r="IT792" i="93"/>
  <c r="EN792" i="93"/>
  <c r="DK792" i="93"/>
  <c r="CB792" i="93"/>
  <c r="AY792" i="93"/>
  <c r="W792" i="93"/>
  <c r="JL792" i="93"/>
  <c r="HH792" i="93"/>
  <c r="GB792" i="93"/>
  <c r="EE792" i="93"/>
  <c r="JD792" i="93"/>
  <c r="GZ792" i="93"/>
  <c r="FT792" i="93"/>
  <c r="CV792" i="93"/>
  <c r="BD792" i="93"/>
  <c r="CU796"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K796" i="93"/>
  <c r="HW796" i="93"/>
  <c r="HG796" i="93"/>
  <c r="GQ796" i="93"/>
  <c r="GA796" i="93"/>
  <c r="FK796" i="93"/>
  <c r="DS796" i="93"/>
  <c r="JG796" i="93"/>
  <c r="HS796" i="93"/>
  <c r="HC796" i="93"/>
  <c r="GM796" i="93"/>
  <c r="FW796" i="93"/>
  <c r="FG796" i="93"/>
  <c r="CZ796" i="93"/>
  <c r="JC796" i="93"/>
  <c r="HO796" i="93"/>
  <c r="GY796" i="93"/>
  <c r="GI796" i="93"/>
  <c r="FS796" i="93"/>
  <c r="FC796" i="93"/>
  <c r="CV796" i="93"/>
  <c r="HK796" i="93"/>
  <c r="EY796" i="93"/>
  <c r="JA796" i="93"/>
  <c r="IK796" i="93"/>
  <c r="EK796" i="93"/>
  <c r="DU796" i="93"/>
  <c r="DE796" i="93"/>
  <c r="CG796" i="93"/>
  <c r="BI796" i="93"/>
  <c r="AS796" i="93"/>
  <c r="AC796" i="93"/>
  <c r="IV796" i="93"/>
  <c r="EV796" i="93"/>
  <c r="EA796" i="93"/>
  <c r="DF796" i="93"/>
  <c r="CB796" i="93"/>
  <c r="BD796" i="93"/>
  <c r="AI796" i="93"/>
  <c r="IT796" i="93"/>
  <c r="EM796" i="93"/>
  <c r="DJ796" i="93"/>
  <c r="BP796" i="93"/>
  <c r="AM796" i="93"/>
  <c r="IR796" i="93"/>
  <c r="EJ796" i="93"/>
  <c r="DH796" i="93"/>
  <c r="BG796" i="93"/>
  <c r="AE796" i="93"/>
  <c r="II796" i="93"/>
  <c r="DT796" i="93"/>
  <c r="CJ796" i="93"/>
  <c r="BF796" i="93"/>
  <c r="AB796" i="93"/>
  <c r="GU796" i="93"/>
  <c r="BW796" i="93"/>
  <c r="JO796" i="93"/>
  <c r="GE796"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JK800" i="93"/>
  <c r="JE800" i="93"/>
  <c r="HZ800" i="93"/>
  <c r="HT800" i="93"/>
  <c r="HO800" i="93"/>
  <c r="HJ800" i="93"/>
  <c r="HD800" i="93"/>
  <c r="GY800" i="93"/>
  <c r="GT800" i="93"/>
  <c r="GN800" i="93"/>
  <c r="GI800" i="93"/>
  <c r="GD800" i="93"/>
  <c r="FX800" i="93"/>
  <c r="FS800" i="93"/>
  <c r="FN800" i="93"/>
  <c r="FH800" i="93"/>
  <c r="FC800" i="93"/>
  <c r="EX800" i="93"/>
  <c r="CW800" i="93"/>
  <c r="JJ800" i="93"/>
  <c r="IC800" i="93"/>
  <c r="HV800" i="93"/>
  <c r="HN800" i="93"/>
  <c r="HG800" i="93"/>
  <c r="GZ800" i="93"/>
  <c r="GR800" i="93"/>
  <c r="GL800" i="93"/>
  <c r="GE800" i="93"/>
  <c r="FW800" i="93"/>
  <c r="FP800" i="93"/>
  <c r="FJ800" i="93"/>
  <c r="FB800" i="93"/>
  <c r="DC800" i="93"/>
  <c r="CX800" i="93"/>
  <c r="BX800" i="93"/>
  <c r="AM800" i="93"/>
  <c r="JP800" i="93"/>
  <c r="JQ800" i="93"/>
  <c r="JI800" i="93"/>
  <c r="IA800" i="93"/>
  <c r="HS800" i="93"/>
  <c r="HL800" i="93"/>
  <c r="HF800" i="93"/>
  <c r="GX800" i="93"/>
  <c r="GQ800" i="93"/>
  <c r="GJ800" i="93"/>
  <c r="GB800" i="93"/>
  <c r="FV800" i="93"/>
  <c r="FO800" i="93"/>
  <c r="FG800" i="93"/>
  <c r="EZ800" i="93"/>
  <c r="DB800" i="93"/>
  <c r="CU800" i="93"/>
  <c r="BW800" i="93"/>
  <c r="JO800" i="93"/>
  <c r="JF800" i="93"/>
  <c r="HX800" i="93"/>
  <c r="HR800" i="93"/>
  <c r="HK800" i="93"/>
  <c r="HC800" i="93"/>
  <c r="GV800" i="93"/>
  <c r="GP800" i="93"/>
  <c r="GH800" i="93"/>
  <c r="GA800" i="93"/>
  <c r="FT800" i="93"/>
  <c r="FL800" i="93"/>
  <c r="FF800" i="93"/>
  <c r="EY800" i="93"/>
  <c r="CZ800" i="93"/>
  <c r="CT800" i="93"/>
  <c r="BV800" i="93"/>
  <c r="HW800" i="93"/>
  <c r="GU800" i="93"/>
  <c r="FR800" i="93"/>
  <c r="CY800" i="93"/>
  <c r="HP800" i="93"/>
  <c r="GM800" i="93"/>
  <c r="FK800" i="93"/>
  <c r="BY800" i="93"/>
  <c r="JN800" i="93"/>
  <c r="HH800" i="93"/>
  <c r="GF800" i="93"/>
  <c r="FD800" i="93"/>
  <c r="BU800" i="93"/>
  <c r="FZ800" i="93"/>
  <c r="IB800" i="93"/>
  <c r="IW800" i="93"/>
  <c r="IG800" i="93"/>
  <c r="EG800" i="93"/>
  <c r="DQ800" i="93"/>
  <c r="CS800" i="93"/>
  <c r="CC800" i="93"/>
  <c r="BE800" i="93"/>
  <c r="AO800" i="93"/>
  <c r="Y800" i="93"/>
  <c r="IH800" i="93"/>
  <c r="EB800" i="93"/>
  <c r="DG800" i="93"/>
  <c r="BP800" i="93"/>
  <c r="AU800" i="93"/>
  <c r="Z800" i="93"/>
  <c r="ID800" i="93"/>
  <c r="DX800" i="93"/>
  <c r="CH800" i="93"/>
  <c r="BD800" i="93"/>
  <c r="AB800" i="93"/>
  <c r="EP800" i="93"/>
  <c r="DD800" i="93"/>
  <c r="BC800" i="93"/>
  <c r="JB800" i="93"/>
  <c r="EN800" i="93"/>
  <c r="CM800" i="93"/>
  <c r="BB800" i="93"/>
  <c r="IZ800" i="93"/>
  <c r="EJ800" i="93"/>
  <c r="CL800" i="93"/>
  <c r="AY800" i="93"/>
  <c r="DZ800" i="93"/>
  <c r="JD800" i="93"/>
  <c r="JC800" i="93"/>
  <c r="JH800" i="93"/>
  <c r="JN804" i="93"/>
  <c r="JF804" i="93"/>
  <c r="HY804" i="93"/>
  <c r="HQ804" i="93"/>
  <c r="HI804" i="93"/>
  <c r="HA804" i="93"/>
  <c r="GS804" i="93"/>
  <c r="GK804" i="93"/>
  <c r="GC804" i="93"/>
  <c r="FU804" i="93"/>
  <c r="FM804" i="93"/>
  <c r="FE804" i="93"/>
  <c r="EW804" i="93"/>
  <c r="DA804" i="93"/>
  <c r="CV804" i="93"/>
  <c r="BX804" i="93"/>
  <c r="BT804" i="93"/>
  <c r="CW804" i="93"/>
  <c r="JM804" i="93"/>
  <c r="IC804" i="93"/>
  <c r="HT804" i="93"/>
  <c r="HH804" i="93"/>
  <c r="GW804" i="93"/>
  <c r="GN804" i="93"/>
  <c r="GB804" i="93"/>
  <c r="FQ804" i="93"/>
  <c r="FH804" i="93"/>
  <c r="EI804" i="93"/>
  <c r="CY804" i="93"/>
  <c r="BY804" i="93"/>
  <c r="JP804" i="93"/>
  <c r="JJ804" i="93"/>
  <c r="IB804" i="93"/>
  <c r="HP804" i="93"/>
  <c r="HE804" i="93"/>
  <c r="GV804" i="93"/>
  <c r="GJ804" i="93"/>
  <c r="FY804" i="93"/>
  <c r="FP804" i="93"/>
  <c r="FD804" i="93"/>
  <c r="DC804" i="93"/>
  <c r="CX804" i="93"/>
  <c r="BW804" i="93"/>
  <c r="JI804" i="93"/>
  <c r="HX804" i="93"/>
  <c r="HM804" i="93"/>
  <c r="HD804" i="93"/>
  <c r="GR804" i="93"/>
  <c r="GG804" i="93"/>
  <c r="FX804" i="93"/>
  <c r="FL804" i="93"/>
  <c r="FA804" i="93"/>
  <c r="DB804" i="93"/>
  <c r="CU804" i="93"/>
  <c r="BV804" i="93"/>
  <c r="HU804" i="93"/>
  <c r="GF804" i="93"/>
  <c r="CZ804" i="93"/>
  <c r="HL804" i="93"/>
  <c r="FT804" i="93"/>
  <c r="CT804" i="93"/>
  <c r="JQ804" i="93"/>
  <c r="GZ804" i="93"/>
  <c r="FI804" i="93"/>
  <c r="BU804" i="93"/>
  <c r="EZ804" i="93"/>
  <c r="JE804" i="93"/>
  <c r="FB804" i="93"/>
  <c r="FR804" i="93"/>
  <c r="GH804" i="93"/>
  <c r="GX804" i="93"/>
  <c r="HN804" i="93"/>
  <c r="JC804" i="93"/>
  <c r="EY804" i="93"/>
  <c r="FO804" i="93"/>
  <c r="GE804" i="93"/>
  <c r="GU804" i="93"/>
  <c r="HK804" i="93"/>
  <c r="IA804" i="93"/>
  <c r="IP804" i="93"/>
  <c r="ET804" i="93"/>
  <c r="ED804" i="93"/>
  <c r="DN804" i="93"/>
  <c r="CL804" i="93"/>
  <c r="BR804" i="93"/>
  <c r="BB804" i="93"/>
  <c r="AL804" i="93"/>
  <c r="JA804" i="93"/>
  <c r="IF804" i="93"/>
  <c r="EE804" i="93"/>
  <c r="DI804" i="93"/>
  <c r="CG804" i="93"/>
  <c r="BH804" i="93"/>
  <c r="AM804" i="93"/>
  <c r="IZ804" i="93"/>
  <c r="ER804" i="93"/>
  <c r="DP804" i="93"/>
  <c r="BO804" i="93"/>
  <c r="AK804" i="93"/>
  <c r="IO804" i="93"/>
  <c r="DX804" i="93"/>
  <c r="CI804" i="93"/>
  <c r="AJ804" i="93"/>
  <c r="ES804" i="93"/>
  <c r="CO804" i="93"/>
  <c r="AQ804" i="93"/>
  <c r="II804" i="93"/>
  <c r="CK804" i="93"/>
  <c r="AO804" i="93"/>
  <c r="EA804" i="93"/>
  <c r="AY804" i="93"/>
  <c r="FF804" i="93"/>
  <c r="FV804" i="93"/>
  <c r="GL804" i="93"/>
  <c r="HB804" i="93"/>
  <c r="HR804" i="93"/>
  <c r="JG804" i="93"/>
  <c r="FC804" i="93"/>
  <c r="FS804" i="93"/>
  <c r="GI804" i="93"/>
  <c r="GY804" i="93"/>
  <c r="HO804" i="93"/>
  <c r="JD804" i="93"/>
  <c r="GO804" i="93"/>
  <c r="FJ804" i="93"/>
  <c r="FZ804" i="93"/>
  <c r="GP804" i="93"/>
  <c r="HF804" i="93"/>
  <c r="HV804" i="93"/>
  <c r="JK804" i="93"/>
  <c r="FG804" i="93"/>
  <c r="FW804" i="93"/>
  <c r="GM804" i="93"/>
  <c r="HC804" i="93"/>
  <c r="HS804" i="93"/>
  <c r="JH804" i="93"/>
  <c r="U498" i="93"/>
  <c r="U565" i="93"/>
  <c r="L730" i="93"/>
  <c r="D976" i="93"/>
  <c r="D992" i="93" s="1"/>
  <c r="IN804" i="93"/>
  <c r="DO800" i="93"/>
  <c r="IN796" i="93"/>
  <c r="BR796" i="93"/>
  <c r="AX792" i="93"/>
  <c r="DF788" i="93"/>
  <c r="IT784" i="93"/>
  <c r="BQ784" i="93"/>
  <c r="EG780" i="93"/>
  <c r="AH780" i="93"/>
  <c r="CM776" i="93"/>
  <c r="IF772" i="93"/>
  <c r="AV772" i="93"/>
  <c r="DK804" i="93"/>
  <c r="EQ800" i="93"/>
  <c r="IH796" i="93"/>
  <c r="BK796" i="93"/>
  <c r="DP792" i="93"/>
  <c r="IS788" i="93"/>
  <c r="BE788" i="93"/>
  <c r="DX784" i="93"/>
  <c r="IX780" i="93"/>
  <c r="BS780" i="93"/>
  <c r="EQ776" i="93"/>
  <c r="AS776" i="93"/>
  <c r="BH772" i="93"/>
  <c r="EI800" i="93"/>
  <c r="CA796" i="93"/>
  <c r="EL792" i="93"/>
  <c r="AI792" i="93"/>
  <c r="AZ788" i="93"/>
  <c r="DR784" i="93"/>
  <c r="IS780" i="93"/>
  <c r="BN780" i="93"/>
  <c r="EL776" i="93"/>
  <c r="AM776" i="93"/>
  <c r="AN772" i="93"/>
  <c r="AG772" i="93"/>
  <c r="AW772" i="93"/>
  <c r="BM772" i="93"/>
  <c r="CK772" i="93"/>
  <c r="IG772" i="93"/>
  <c r="AD772" i="93"/>
  <c r="AT772" i="93"/>
  <c r="BJ772" i="93"/>
  <c r="CD772" i="93"/>
  <c r="DN772" i="93"/>
  <c r="IL772" i="93"/>
  <c r="AE772" i="93"/>
  <c r="AU772" i="93"/>
  <c r="BK772" i="93"/>
  <c r="CI772" i="93"/>
  <c r="IE772"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IR776" i="93"/>
  <c r="AD780" i="93"/>
  <c r="AY780" i="93"/>
  <c r="CD780" i="93"/>
  <c r="DM780" i="93"/>
  <c r="EH780" i="93"/>
  <c r="II780" i="93"/>
  <c r="Z780" i="93"/>
  <c r="AU780" i="93"/>
  <c r="BQ780" i="93"/>
  <c r="CP780" i="93"/>
  <c r="DY780" i="93"/>
  <c r="ET780" i="93"/>
  <c r="IU780" i="93"/>
  <c r="AG780" i="93"/>
  <c r="BB780" i="93"/>
  <c r="CA780" i="93"/>
  <c r="DE780" i="93"/>
  <c r="DZ780" i="93"/>
  <c r="EU780" i="93"/>
  <c r="IW780" i="93"/>
  <c r="AF780" i="93"/>
  <c r="AV780" i="93"/>
  <c r="BL780" i="93"/>
  <c r="CF780" i="93"/>
  <c r="DD780" i="93"/>
  <c r="DT780" i="93"/>
  <c r="EJ780" i="93"/>
  <c r="IF780" i="93"/>
  <c r="IV780" i="93"/>
  <c r="AG784" i="93"/>
  <c r="BB784" i="93"/>
  <c r="CB784" i="93"/>
  <c r="DD784" i="93"/>
  <c r="DY784" i="93"/>
  <c r="ET784" i="93"/>
  <c r="IV784" i="93"/>
  <c r="AH784" i="93"/>
  <c r="BD784" i="93"/>
  <c r="CC784" i="93"/>
  <c r="DE784" i="93"/>
  <c r="DZ784" i="93"/>
  <c r="EV784" i="93"/>
  <c r="IW784" i="93"/>
  <c r="AJ784" i="93"/>
  <c r="BE784" i="93"/>
  <c r="CJ784" i="93"/>
  <c r="DQ784" i="93"/>
  <c r="EL784" i="93"/>
  <c r="IS784" i="93"/>
  <c r="AE784" i="93"/>
  <c r="AU784" i="93"/>
  <c r="BK784" i="93"/>
  <c r="CE784" i="93"/>
  <c r="DG784" i="93"/>
  <c r="DW784" i="93"/>
  <c r="EM784" i="93"/>
  <c r="II784" i="93"/>
  <c r="IY784" i="93"/>
  <c r="AK788" i="93"/>
  <c r="BF788" i="93"/>
  <c r="CF788" i="93"/>
  <c r="DM788" i="93"/>
  <c r="EH788" i="93"/>
  <c r="IJ788" i="93"/>
  <c r="AG788" i="93"/>
  <c r="BM788" i="93"/>
  <c r="CR788" i="93"/>
  <c r="DY788" i="93"/>
  <c r="IK788" i="93"/>
  <c r="AC788" i="93"/>
  <c r="BD788" i="93"/>
  <c r="CN788" i="93"/>
  <c r="DU788" i="93"/>
  <c r="EV788" i="93"/>
  <c r="W788" i="93"/>
  <c r="AQ788" i="93"/>
  <c r="BK788" i="93"/>
  <c r="CM788" i="93"/>
  <c r="DS788" i="93"/>
  <c r="EM788" i="93"/>
  <c r="IQ788" i="93"/>
  <c r="AL792" i="93"/>
  <c r="BT792" i="93"/>
  <c r="DS792" i="93"/>
  <c r="IE792" i="93"/>
  <c r="AF792" i="93"/>
  <c r="CE792" i="93"/>
  <c r="DT792" i="93"/>
  <c r="IF792" i="93"/>
  <c r="AN792" i="93"/>
  <c r="BZ792" i="93"/>
  <c r="DV792" i="93"/>
  <c r="IV792" i="93"/>
  <c r="AU792" i="93"/>
  <c r="CD792" i="93"/>
  <c r="DW792" i="93"/>
  <c r="IH792" i="93"/>
  <c r="AC792" i="93"/>
  <c r="BA792" i="93"/>
  <c r="CC792" i="93"/>
  <c r="DE792" i="93"/>
  <c r="EC792" i="93"/>
  <c r="IG792" i="93"/>
  <c r="JA792" i="93"/>
  <c r="BL796" i="93"/>
  <c r="DG796" i="93"/>
  <c r="EP796" i="93"/>
  <c r="AL796" i="93"/>
  <c r="CE796" i="93"/>
  <c r="ED796" i="93"/>
  <c r="IY796" i="93"/>
  <c r="BB796" i="93"/>
  <c r="CN796" i="93"/>
  <c r="ET796" i="93"/>
  <c r="X796" i="93"/>
  <c r="AY796" i="93"/>
  <c r="CH796" i="93"/>
  <c r="DP796" i="93"/>
  <c r="EQ796" i="93"/>
  <c r="JB796" i="93"/>
  <c r="AK796" i="93"/>
  <c r="BE796" i="93"/>
  <c r="CK796" i="93"/>
  <c r="DM796" i="93"/>
  <c r="EG796" i="93"/>
  <c r="IO796" i="93"/>
  <c r="AF800" i="93"/>
  <c r="CB800" i="93"/>
  <c r="EU800" i="93"/>
  <c r="AH800" i="93"/>
  <c r="CE800" i="93"/>
  <c r="EV800" i="93"/>
  <c r="AL800" i="93"/>
  <c r="CQ800" i="93"/>
  <c r="IL800" i="93"/>
  <c r="AQ800" i="93"/>
  <c r="CA800" i="93"/>
  <c r="EE800" i="93"/>
  <c r="IQ800" i="93"/>
  <c r="AP800" i="93"/>
  <c r="CD800" i="93"/>
  <c r="DR800" i="93"/>
  <c r="ER800" i="93"/>
  <c r="AC800" i="93"/>
  <c r="AW800" i="93"/>
  <c r="BQ800" i="93"/>
  <c r="DE800" i="93"/>
  <c r="DY800" i="93"/>
  <c r="ES800" i="93"/>
  <c r="JA800" i="93"/>
  <c r="CJ804" i="93"/>
  <c r="AC804" i="93"/>
  <c r="DQ804" i="93"/>
  <c r="A804" i="93"/>
  <c r="CC804" i="93"/>
  <c r="IJ804" i="93"/>
  <c r="BD804" i="93"/>
  <c r="DM804" i="93"/>
  <c r="IY804" i="93"/>
  <c r="AZ804" i="93"/>
  <c r="DH804" i="93"/>
  <c r="IE804" i="93"/>
  <c r="AB804" i="93"/>
  <c r="BC804" i="93"/>
  <c r="CM804" i="93"/>
  <c r="DT804" i="93"/>
  <c r="EU804" i="93"/>
  <c r="Z804" i="93"/>
  <c r="AT804" i="93"/>
  <c r="BN804" i="93"/>
  <c r="CP804" i="93"/>
  <c r="DV804" i="93"/>
  <c r="EP804" i="93"/>
  <c r="IT804" i="93"/>
  <c r="DO801" i="93"/>
  <c r="CE801" i="93"/>
  <c r="AQ801" i="93"/>
  <c r="AJ801" i="93"/>
  <c r="BD801" i="93"/>
  <c r="DU801" i="93"/>
  <c r="EV801" i="93"/>
  <c r="IJ801" i="93"/>
  <c r="AC801" i="93"/>
  <c r="AW801" i="93"/>
  <c r="BQ801" i="93"/>
  <c r="CG801" i="93"/>
  <c r="EB801" i="93"/>
  <c r="IO801" i="93"/>
  <c r="DJ801" i="93"/>
  <c r="ED801" i="93"/>
  <c r="JB801" i="93"/>
  <c r="AW797" i="93"/>
  <c r="DU797" i="93"/>
  <c r="IW797" i="93"/>
  <c r="AP801" i="93"/>
  <c r="EE801" i="93"/>
  <c r="DT801" i="93"/>
  <c r="CJ797" i="93"/>
  <c r="EA797" i="93"/>
  <c r="AU797" i="93"/>
  <c r="IE797" i="93"/>
  <c r="EM793" i="93"/>
  <c r="JL804" i="93"/>
  <c r="GA804" i="93"/>
  <c r="HZ804" i="93"/>
  <c r="FN804" i="93"/>
  <c r="DD797" i="93"/>
  <c r="DX793" i="93"/>
  <c r="EO793" i="93"/>
  <c r="EB789" i="93"/>
  <c r="DI789" i="93"/>
  <c r="IX785" i="93"/>
  <c r="BY776" i="93"/>
  <c r="FO776" i="93"/>
  <c r="GU776" i="93"/>
  <c r="IA776" i="93"/>
  <c r="AJ777" i="93"/>
  <c r="BP777" i="93"/>
  <c r="CQ777" i="93"/>
  <c r="DM777" i="93"/>
  <c r="CT780" i="93"/>
  <c r="FQ780" i="93"/>
  <c r="GW780" i="93"/>
  <c r="IC780" i="93"/>
  <c r="AL781" i="93"/>
  <c r="CK781" i="93"/>
  <c r="EQ781" i="93"/>
  <c r="CX784" i="93"/>
  <c r="HA784" i="93"/>
  <c r="AO785" i="93"/>
  <c r="FU788" i="93"/>
  <c r="AF789" i="93"/>
  <c r="IF789" i="93"/>
  <c r="GR792" i="93"/>
  <c r="IF793" i="93"/>
  <c r="M459" i="93"/>
  <c r="S463" i="93"/>
  <c r="S547" i="93"/>
  <c r="J604" i="93"/>
  <c r="DU804" i="93"/>
  <c r="CR800" i="93"/>
  <c r="EN796" i="93"/>
  <c r="AP796" i="93"/>
  <c r="A792" i="93"/>
  <c r="CJ788" i="93"/>
  <c r="EC784" i="93"/>
  <c r="AV784" i="93"/>
  <c r="DK780" i="93"/>
  <c r="IX776" i="93"/>
  <c r="BS776" i="93"/>
  <c r="CR772" i="93"/>
  <c r="AF772" i="93"/>
  <c r="CE804" i="93"/>
  <c r="DF800" i="93"/>
  <c r="EH796" i="93"/>
  <c r="AH796" i="93"/>
  <c r="CP792" i="93"/>
  <c r="ER788" i="93"/>
  <c r="AJ788" i="93"/>
  <c r="CF784" i="93"/>
  <c r="EA780" i="93"/>
  <c r="AX780" i="93"/>
  <c r="DV776" i="93"/>
  <c r="W776" i="93"/>
  <c r="AR772" i="93"/>
  <c r="EV804" i="93"/>
  <c r="BZ800" i="93"/>
  <c r="BC796" i="93"/>
  <c r="DJ792" i="93"/>
  <c r="IN788" i="93"/>
  <c r="AD788" i="93"/>
  <c r="BZ784" i="93"/>
  <c r="EQ780" i="93"/>
  <c r="AS780" i="93"/>
  <c r="DQ776" i="93"/>
  <c r="CJ772" i="93"/>
  <c r="AK772" i="93"/>
  <c r="BA772" i="93"/>
  <c r="BQ772" i="93"/>
  <c r="CO772" i="93"/>
  <c r="IK772" i="93"/>
  <c r="AH772" i="93"/>
  <c r="AX772" i="93"/>
  <c r="BN772" i="93"/>
  <c r="CH772" i="93"/>
  <c r="ET772" i="93"/>
  <c r="IP772" i="93"/>
  <c r="AI772" i="93"/>
  <c r="AY772" i="93"/>
  <c r="BO772" i="93"/>
  <c r="CM772" i="93"/>
  <c r="II772" i="93"/>
  <c r="AD776" i="93"/>
  <c r="AY776" i="93"/>
  <c r="CD776" i="93"/>
  <c r="DM776" i="93"/>
  <c r="EH776" i="93"/>
  <c r="II776" i="93"/>
  <c r="Z776" i="93"/>
  <c r="AU776" i="93"/>
  <c r="BQ776" i="93"/>
  <c r="CP776" i="93"/>
  <c r="DY776" i="93"/>
  <c r="ET776" i="93"/>
  <c r="IU776" i="93"/>
  <c r="AG776" i="93"/>
  <c r="BB776" i="93"/>
  <c r="CA776" i="93"/>
  <c r="DE776" i="93"/>
  <c r="DZ776" i="93"/>
  <c r="EU776" i="93"/>
  <c r="IW776" i="93"/>
  <c r="AF776" i="93"/>
  <c r="AV776" i="93"/>
  <c r="BL776" i="93"/>
  <c r="CF776" i="93"/>
  <c r="DD776" i="93"/>
  <c r="DT776" i="93"/>
  <c r="EJ776" i="93"/>
  <c r="IF776" i="93"/>
  <c r="IV776" i="93"/>
  <c r="AI780" i="93"/>
  <c r="BE780" i="93"/>
  <c r="CI780" i="93"/>
  <c r="DR780" i="93"/>
  <c r="EM780" i="93"/>
  <c r="IO780" i="93"/>
  <c r="AE780" i="93"/>
  <c r="BA780" i="93"/>
  <c r="BZ780" i="93"/>
  <c r="DI780" i="93"/>
  <c r="ED780" i="93"/>
  <c r="IE780" i="93"/>
  <c r="JA780" i="93"/>
  <c r="AL780" i="93"/>
  <c r="BG780" i="93"/>
  <c r="CG780" i="93"/>
  <c r="DJ780" i="93"/>
  <c r="EE780" i="93"/>
  <c r="IG780" i="93"/>
  <c r="JB780" i="93"/>
  <c r="AJ780" i="93"/>
  <c r="AZ780" i="93"/>
  <c r="BP780" i="93"/>
  <c r="CJ780" i="93"/>
  <c r="DH780" i="93"/>
  <c r="DX780" i="93"/>
  <c r="EN780" i="93"/>
  <c r="IJ780" i="93"/>
  <c r="IZ780" i="93"/>
  <c r="AL784" i="93"/>
  <c r="BH784" i="93"/>
  <c r="CG784" i="93"/>
  <c r="DI784" i="93"/>
  <c r="ED784" i="93"/>
  <c r="IF784" i="93"/>
  <c r="JA784" i="93"/>
  <c r="AN784" i="93"/>
  <c r="BI784" i="93"/>
  <c r="CH784" i="93"/>
  <c r="DJ784" i="93"/>
  <c r="EF784" i="93"/>
  <c r="IG784" i="93"/>
  <c r="JB784" i="93"/>
  <c r="AO784" i="93"/>
  <c r="BJ784" i="93"/>
  <c r="CO784" i="93"/>
  <c r="DV784" i="93"/>
  <c r="ER784" i="93"/>
  <c r="IX784" i="93"/>
  <c r="AI784" i="93"/>
  <c r="AY784" i="93"/>
  <c r="BO784" i="93"/>
  <c r="CI784" i="93"/>
  <c r="DK784" i="93"/>
  <c r="EA784" i="93"/>
  <c r="EQ784" i="93"/>
  <c r="IM784" i="93"/>
  <c r="A788" i="93"/>
  <c r="AP788" i="93"/>
  <c r="BL788" i="93"/>
  <c r="CK788" i="93"/>
  <c r="DR788" i="93"/>
  <c r="EN788" i="93"/>
  <c r="IO788" i="93"/>
  <c r="AR788" i="93"/>
  <c r="BR788" i="93"/>
  <c r="DD788" i="93"/>
  <c r="EJ788" i="93"/>
  <c r="IP788" i="93"/>
  <c r="AH788" i="93"/>
  <c r="BN788" i="93"/>
  <c r="CS788" i="93"/>
  <c r="DZ788" i="93"/>
  <c r="IL788" i="93"/>
  <c r="AA788" i="93"/>
  <c r="AU788" i="93"/>
  <c r="BS788" i="93"/>
  <c r="CQ788" i="93"/>
  <c r="DW788" i="93"/>
  <c r="EU788" i="93"/>
  <c r="IU788" i="93"/>
  <c r="AR792" i="93"/>
  <c r="CJ792" i="93"/>
  <c r="DZ792" i="93"/>
  <c r="IL792" i="93"/>
  <c r="AT792" i="93"/>
  <c r="CL792" i="93"/>
  <c r="EA792" i="93"/>
  <c r="IU792" i="93"/>
  <c r="AV792" i="93"/>
  <c r="CF792" i="93"/>
  <c r="EJ792" i="93"/>
  <c r="Z792" i="93"/>
  <c r="AZ792" i="93"/>
  <c r="CN792" i="93"/>
  <c r="EB792" i="93"/>
  <c r="IM792" i="93"/>
  <c r="AK792" i="93"/>
  <c r="BE792" i="93"/>
  <c r="CG792" i="93"/>
  <c r="DM792" i="93"/>
  <c r="EG792" i="93"/>
  <c r="IK792" i="93"/>
  <c r="AJ796" i="93"/>
  <c r="BS796" i="93"/>
  <c r="DN796" i="93"/>
  <c r="IP796" i="93"/>
  <c r="AR796" i="93"/>
  <c r="CL796" i="93"/>
  <c r="ER796" i="93"/>
  <c r="Z796" i="93"/>
  <c r="BH796" i="93"/>
  <c r="DR796" i="93"/>
  <c r="IE796" i="93"/>
  <c r="AD796" i="93"/>
  <c r="BJ796" i="93"/>
  <c r="CM796" i="93"/>
  <c r="DV796" i="93"/>
  <c r="IF796" i="93"/>
  <c r="A796" i="93"/>
  <c r="AO796" i="93"/>
  <c r="BM796" i="93"/>
  <c r="CO796" i="93"/>
  <c r="DQ796" i="93"/>
  <c r="EO796" i="93"/>
  <c r="IS796" i="93"/>
  <c r="AN800" i="93"/>
  <c r="DH800" i="93"/>
  <c r="IF800" i="93"/>
  <c r="AR800" i="93"/>
  <c r="DK800" i="93"/>
  <c r="II800" i="93"/>
  <c r="AT800" i="93"/>
  <c r="DN800" i="93"/>
  <c r="IU800" i="93"/>
  <c r="AX800" i="93"/>
  <c r="CP800" i="93"/>
  <c r="EL800" i="93"/>
  <c r="IY800" i="93"/>
  <c r="AZ800" i="93"/>
  <c r="CI800" i="93"/>
  <c r="DW800" i="93"/>
  <c r="IM800" i="93"/>
  <c r="AG800" i="93"/>
  <c r="BA800" i="93"/>
  <c r="CG800" i="93"/>
  <c r="DI800" i="93"/>
  <c r="EC800" i="93"/>
  <c r="IK800" i="93"/>
  <c r="Y804" i="93"/>
  <c r="DL804" i="93"/>
  <c r="BA804" i="93"/>
  <c r="EB804" i="93"/>
  <c r="AF804" i="93"/>
  <c r="DG804" i="93"/>
  <c r="IW804" i="93"/>
  <c r="BL804" i="93"/>
  <c r="EG804" i="93"/>
  <c r="X804" i="93"/>
  <c r="BG804" i="93"/>
  <c r="DW804" i="93"/>
  <c r="IM804" i="93"/>
  <c r="AG804" i="93"/>
  <c r="BM804" i="93"/>
  <c r="CR804" i="93"/>
  <c r="DY804" i="93"/>
  <c r="IK804" i="93"/>
  <c r="AD804" i="93"/>
  <c r="AX804" i="93"/>
  <c r="BZ804" i="93"/>
  <c r="DF804" i="93"/>
  <c r="DZ804" i="93"/>
  <c r="ID804" i="93"/>
  <c r="IX804" i="93"/>
  <c r="IY801" i="93"/>
  <c r="DD801" i="93"/>
  <c r="AA801" i="93"/>
  <c r="AN801" i="93"/>
  <c r="BH801" i="93"/>
  <c r="CF801" i="93"/>
  <c r="EA801" i="93"/>
  <c r="IZ801" i="93"/>
  <c r="AG801" i="93"/>
  <c r="BA801" i="93"/>
  <c r="CO801" i="93"/>
  <c r="DG801" i="93"/>
  <c r="EG801" i="93"/>
  <c r="IW801" i="93"/>
  <c r="DN801" i="93"/>
  <c r="EH801" i="93"/>
  <c r="IH801" i="93"/>
  <c r="BI797" i="93"/>
  <c r="CC797" i="93"/>
  <c r="DY797" i="93"/>
  <c r="AH801" i="93"/>
  <c r="AD797" i="93"/>
  <c r="EV797" i="93"/>
  <c r="BP797" i="93"/>
  <c r="IZ797" i="93"/>
  <c r="CA793" i="93"/>
  <c r="II793" i="93"/>
  <c r="HW804" i="93"/>
  <c r="FK804" i="93"/>
  <c r="HJ804" i="93"/>
  <c r="EX804" i="93"/>
  <c r="EU797" i="93"/>
  <c r="ES793" i="93"/>
  <c r="JA793" i="93"/>
  <c r="ER789" i="93"/>
  <c r="DY789" i="93"/>
  <c r="DJ785" i="93"/>
  <c r="DO785" i="93"/>
  <c r="DQ781" i="93"/>
  <c r="DV777" i="93"/>
  <c r="CZ776" i="93"/>
  <c r="FW776" i="93"/>
  <c r="HC776" i="93"/>
  <c r="JG776" i="93"/>
  <c r="AR777" i="93"/>
  <c r="DX777" i="93"/>
  <c r="IH777" i="93"/>
  <c r="DB780" i="93"/>
  <c r="FY780" i="93"/>
  <c r="HE780" i="93"/>
  <c r="JI780" i="93"/>
  <c r="BA781" i="93"/>
  <c r="FE784" i="93"/>
  <c r="HQ784" i="93"/>
  <c r="BE785" i="93"/>
  <c r="II785" i="93"/>
  <c r="GQ788" i="93"/>
  <c r="BA789" i="93"/>
  <c r="HX792" i="93"/>
  <c r="HB800" i="93"/>
  <c r="J519" i="93"/>
  <c r="P562" i="93"/>
  <c r="CS804" i="93"/>
  <c r="BO800" i="93"/>
  <c r="DL796" i="93"/>
  <c r="IY792" i="93"/>
  <c r="IX788" i="93"/>
  <c r="BJ788" i="93"/>
  <c r="DH784" i="93"/>
  <c r="Z784" i="93"/>
  <c r="CS780" i="93"/>
  <c r="EA776" i="93"/>
  <c r="AX776" i="93"/>
  <c r="CB772" i="93"/>
  <c r="AV804" i="93"/>
  <c r="CJ800" i="93"/>
  <c r="DD796" i="93"/>
  <c r="IQ792" i="93"/>
  <c r="BS792" i="93"/>
  <c r="DV788" i="93"/>
  <c r="IO784" i="93"/>
  <c r="BL784" i="93"/>
  <c r="DF780" i="93"/>
  <c r="AC780" i="93"/>
  <c r="CH776" i="93"/>
  <c r="IR772" i="93"/>
  <c r="AB772" i="93"/>
  <c r="AI804" i="93"/>
  <c r="AV800" i="93"/>
  <c r="AA796" i="93"/>
  <c r="CH792" i="93"/>
  <c r="EL788" i="93"/>
  <c r="IJ784" i="93"/>
  <c r="BF784" i="93"/>
  <c r="DV780" i="93"/>
  <c r="W780" i="93"/>
  <c r="CC776" i="93"/>
  <c r="BT772" i="93"/>
  <c r="Y772" i="93"/>
  <c r="AO772" i="93"/>
  <c r="BE772" i="93"/>
  <c r="CC772" i="93"/>
  <c r="CS772" i="93"/>
  <c r="IW772" i="93"/>
  <c r="AL772" i="93"/>
  <c r="BB772" i="93"/>
  <c r="BR772" i="93"/>
  <c r="CL772" i="93"/>
  <c r="ID772" i="93"/>
  <c r="W772" i="93"/>
  <c r="AM772" i="93"/>
  <c r="BC772" i="93"/>
  <c r="BS772" i="93"/>
  <c r="CQ772" i="93"/>
  <c r="IM772" i="93"/>
  <c r="AI776" i="93"/>
  <c r="BE776" i="93"/>
  <c r="CI776" i="93"/>
  <c r="DR776" i="93"/>
  <c r="EM776" i="93"/>
  <c r="IO776" i="93"/>
  <c r="AE776" i="93"/>
  <c r="BA776" i="93"/>
  <c r="BZ776" i="93"/>
  <c r="DI776" i="93"/>
  <c r="ED776" i="93"/>
  <c r="IE776" i="93"/>
  <c r="JA776" i="93"/>
  <c r="AL776" i="93"/>
  <c r="BG776" i="93"/>
  <c r="CG776" i="93"/>
  <c r="DJ776" i="93"/>
  <c r="EE776" i="93"/>
  <c r="IG776" i="93"/>
  <c r="JB776" i="93"/>
  <c r="AJ776" i="93"/>
  <c r="AZ776" i="93"/>
  <c r="BP776" i="93"/>
  <c r="CJ776" i="93"/>
  <c r="DH776" i="93"/>
  <c r="DX776" i="93"/>
  <c r="EN776" i="93"/>
  <c r="IJ776" i="93"/>
  <c r="IZ776" i="93"/>
  <c r="AO780" i="93"/>
  <c r="BJ780" i="93"/>
  <c r="CO780" i="93"/>
  <c r="DW780" i="93"/>
  <c r="ES780" i="93"/>
  <c r="IT780" i="93"/>
  <c r="AK780" i="93"/>
  <c r="BF780" i="93"/>
  <c r="CE780" i="93"/>
  <c r="DN780" i="93"/>
  <c r="EI780" i="93"/>
  <c r="IK780" i="93"/>
  <c r="A780" i="93"/>
  <c r="AQ780" i="93"/>
  <c r="BM780" i="93"/>
  <c r="CL780" i="93"/>
  <c r="DO780" i="93"/>
  <c r="EK780" i="93"/>
  <c r="IL780" i="93"/>
  <c r="X780" i="93"/>
  <c r="AN780" i="93"/>
  <c r="BD780" i="93"/>
  <c r="BT780" i="93"/>
  <c r="CN780" i="93"/>
  <c r="DL780" i="93"/>
  <c r="EB780" i="93"/>
  <c r="ER780" i="93"/>
  <c r="IN780" i="93"/>
  <c r="A784" i="93"/>
  <c r="AR784" i="93"/>
  <c r="BM784" i="93"/>
  <c r="CL784" i="93"/>
  <c r="DN784" i="93"/>
  <c r="EJ784" i="93"/>
  <c r="IK784" i="93"/>
  <c r="X784" i="93"/>
  <c r="AS784" i="93"/>
  <c r="BN784" i="93"/>
  <c r="CN784" i="93"/>
  <c r="DP784" i="93"/>
  <c r="EK784" i="93"/>
  <c r="IL784" i="93"/>
  <c r="Y784" i="93"/>
  <c r="AT784" i="93"/>
  <c r="BP784" i="93"/>
  <c r="DF784" i="93"/>
  <c r="EB784" i="93"/>
  <c r="IH784" i="93"/>
  <c r="W784" i="93"/>
  <c r="AM784" i="93"/>
  <c r="BC784" i="93"/>
  <c r="BS784" i="93"/>
  <c r="CM784" i="93"/>
  <c r="DO784" i="93"/>
  <c r="EE784" i="93"/>
  <c r="EU784" i="93"/>
  <c r="IQ784" i="93"/>
  <c r="Z788" i="93"/>
  <c r="AV788" i="93"/>
  <c r="BQ788" i="93"/>
  <c r="CP788" i="93"/>
  <c r="DX788" i="93"/>
  <c r="ES788" i="93"/>
  <c r="IZ788" i="93"/>
  <c r="AW788" i="93"/>
  <c r="CB788" i="93"/>
  <c r="DN788" i="93"/>
  <c r="EO788" i="93"/>
  <c r="IV788" i="93"/>
  <c r="AS788" i="93"/>
  <c r="BT788" i="93"/>
  <c r="DE788" i="93"/>
  <c r="EK788" i="93"/>
  <c r="IR788" i="93"/>
  <c r="AE788" i="93"/>
  <c r="BC788" i="93"/>
  <c r="CA788" i="93"/>
  <c r="DG788" i="93"/>
  <c r="EE788" i="93"/>
  <c r="IE788" i="93"/>
  <c r="IY788" i="93"/>
  <c r="BG792" i="93"/>
  <c r="CQ792" i="93"/>
  <c r="EF792" i="93"/>
  <c r="IZ792" i="93"/>
  <c r="BB792" i="93"/>
  <c r="CR792" i="93"/>
  <c r="EP792" i="93"/>
  <c r="JB792" i="93"/>
  <c r="BC792" i="93"/>
  <c r="DH792" i="93"/>
  <c r="EQ792" i="93"/>
  <c r="AE792" i="93"/>
  <c r="BK792" i="93"/>
  <c r="DG792" i="93"/>
  <c r="EH792" i="93"/>
  <c r="IX792" i="93"/>
  <c r="AO792" i="93"/>
  <c r="BI792" i="93"/>
  <c r="CO792" i="93"/>
  <c r="DQ792" i="93"/>
  <c r="EK792" i="93"/>
  <c r="IS792" i="93"/>
  <c r="AQ796" i="93"/>
  <c r="CD796" i="93"/>
  <c r="EB796" i="93"/>
  <c r="IX796" i="93"/>
  <c r="AZ796" i="93"/>
  <c r="DO796" i="93"/>
  <c r="ID796" i="93"/>
  <c r="AF796" i="93"/>
  <c r="BZ796" i="93"/>
  <c r="DX796" i="93"/>
  <c r="IM796" i="93"/>
  <c r="AN796" i="93"/>
  <c r="BO796" i="93"/>
  <c r="CR796" i="93"/>
  <c r="EF796" i="93"/>
  <c r="IL796" i="93"/>
  <c r="Y796" i="93"/>
  <c r="AW796" i="93"/>
  <c r="BQ796" i="93"/>
  <c r="CS796" i="93"/>
  <c r="DY796" i="93"/>
  <c r="ES796" i="93"/>
  <c r="IW796" i="93"/>
  <c r="BH800" i="93"/>
  <c r="DS800" i="93"/>
  <c r="IP800" i="93"/>
  <c r="BJ800" i="93"/>
  <c r="DT800" i="93"/>
  <c r="IT800" i="93"/>
  <c r="BN800" i="93"/>
  <c r="DV800" i="93"/>
  <c r="A800" i="93"/>
  <c r="BL800" i="93"/>
  <c r="DJ800" i="93"/>
  <c r="ET800" i="93"/>
  <c r="AE800" i="93"/>
  <c r="BF800" i="93"/>
  <c r="CN800" i="93"/>
  <c r="EH800" i="93"/>
  <c r="IR800" i="93"/>
  <c r="AK800" i="93"/>
  <c r="BI800" i="93"/>
  <c r="CK800" i="93"/>
  <c r="DM800" i="93"/>
  <c r="EK800" i="93"/>
  <c r="IO800" i="93"/>
  <c r="AN804" i="93"/>
  <c r="EM804" i="93"/>
  <c r="BP804" i="93"/>
  <c r="EN804" i="93"/>
  <c r="BE804" i="93"/>
  <c r="DS804" i="93"/>
  <c r="AA804" i="93"/>
  <c r="CQ804" i="93"/>
  <c r="EQ804" i="93"/>
  <c r="AE804" i="93"/>
  <c r="CF804" i="93"/>
  <c r="EC804" i="93"/>
  <c r="IS804" i="93"/>
  <c r="AR804" i="93"/>
  <c r="BS804" i="93"/>
  <c r="DD804" i="93"/>
  <c r="EJ804" i="93"/>
  <c r="IQ804" i="93"/>
  <c r="AH804" i="93"/>
  <c r="BF804" i="93"/>
  <c r="CD804" i="93"/>
  <c r="DJ804" i="93"/>
  <c r="EH804" i="93"/>
  <c r="IH804" i="93"/>
  <c r="JB804" i="93"/>
  <c r="II801" i="93"/>
  <c r="EU801" i="93"/>
  <c r="BG801" i="93"/>
  <c r="X801" i="93"/>
  <c r="AR801" i="93"/>
  <c r="BP801" i="93"/>
  <c r="CJ801" i="93"/>
  <c r="DE801" i="93"/>
  <c r="EK801" i="93"/>
  <c r="AK801" i="93"/>
  <c r="BI801" i="93"/>
  <c r="CS801" i="93"/>
  <c r="DL801" i="93"/>
  <c r="EM801" i="93"/>
  <c r="IM801" i="93"/>
  <c r="IG801" i="93"/>
  <c r="JA801" i="93"/>
  <c r="DR801" i="93"/>
  <c r="EP801" i="93"/>
  <c r="IL801" i="93"/>
  <c r="BM797" i="93"/>
  <c r="CO797" i="93"/>
  <c r="DE797" i="93"/>
  <c r="EK797" i="93"/>
  <c r="IG797" i="93"/>
  <c r="CH801" i="93"/>
  <c r="BZ801" i="93"/>
  <c r="AT797" i="93"/>
  <c r="IT797" i="93"/>
  <c r="DG797" i="93"/>
  <c r="AU793" i="93"/>
  <c r="CQ793" i="93"/>
  <c r="DG793" i="93"/>
  <c r="IY793" i="93"/>
  <c r="HG804" i="93"/>
  <c r="JL800" i="93"/>
  <c r="GT804" i="93"/>
  <c r="DS797" i="93"/>
  <c r="IV789" i="93"/>
  <c r="EO789" i="93"/>
  <c r="DZ785" i="93"/>
  <c r="EE785" i="93"/>
  <c r="EG781" i="93"/>
  <c r="EL777" i="93"/>
  <c r="EY776" i="93"/>
  <c r="GE776" i="93"/>
  <c r="HK776" i="93"/>
  <c r="JO776" i="93"/>
  <c r="AZ777" i="93"/>
  <c r="CA777" i="93"/>
  <c r="EI777" i="93"/>
  <c r="IQ777" i="93"/>
  <c r="FA780" i="93"/>
  <c r="GG780" i="93"/>
  <c r="HM780" i="93"/>
  <c r="JQ780" i="93"/>
  <c r="BQ781" i="93"/>
  <c r="IJ781" i="93"/>
  <c r="FU784" i="93"/>
  <c r="JD784" i="93"/>
  <c r="DE785" i="93"/>
  <c r="BU788" i="93"/>
  <c r="HL788" i="93"/>
  <c r="DW789" i="93"/>
  <c r="AB792" i="93"/>
  <c r="AG793" i="93"/>
  <c r="FO796" i="93"/>
  <c r="IP790" i="93"/>
  <c r="AS768" i="93"/>
  <c r="AV768" i="93"/>
  <c r="BA768" i="93"/>
  <c r="IE800" i="93"/>
  <c r="JL801" i="93"/>
  <c r="HK801" i="93"/>
  <c r="GQ801" i="93"/>
  <c r="FY801" i="93"/>
  <c r="FD801" i="93"/>
  <c r="DX801" i="93"/>
  <c r="CL801" i="93"/>
  <c r="BR801" i="93"/>
  <c r="AU801" i="93"/>
  <c r="Z801" i="93"/>
  <c r="IG773" i="93"/>
  <c r="DQ770" i="93"/>
  <c r="EH790" i="93"/>
  <c r="EF802" i="93"/>
  <c r="A768" i="93"/>
  <c r="K790" i="93"/>
  <c r="L790" i="93" s="1"/>
  <c r="CU775" i="93"/>
  <c r="HL801" i="93"/>
  <c r="JI769" i="93"/>
  <c r="JK803" i="93"/>
  <c r="JE803" i="93"/>
  <c r="IH803" i="93"/>
  <c r="HP803" i="93"/>
  <c r="GZ803" i="93"/>
  <c r="GJ803" i="93"/>
  <c r="FT803" i="93"/>
  <c r="FD803" i="93"/>
  <c r="EY803" i="93"/>
  <c r="EO803" i="93"/>
  <c r="DP803" i="93"/>
  <c r="DB803" i="93"/>
  <c r="CX803" i="93"/>
  <c r="CR803" i="93"/>
  <c r="BX803" i="93"/>
  <c r="BE803" i="93"/>
  <c r="A769" i="93"/>
  <c r="FP802" i="93"/>
  <c r="M885" i="93"/>
  <c r="M907" i="93"/>
  <c r="I916" i="93"/>
  <c r="D21" i="74"/>
  <c r="E13" i="86" s="1"/>
  <c r="T1731" i="93"/>
  <c r="F376" i="73"/>
  <c r="F1470" i="93" s="1"/>
  <c r="L43" i="73"/>
  <c r="Q1659" i="93"/>
  <c r="K1656" i="93"/>
  <c r="Q1667" i="93"/>
  <c r="L1667" i="93"/>
  <c r="K1862" i="93"/>
  <c r="Q1862" i="93"/>
  <c r="M1935" i="93"/>
  <c r="FG770" i="93"/>
  <c r="HE770" i="93"/>
  <c r="HO770" i="93"/>
  <c r="GK770" i="93"/>
  <c r="GA770" i="93"/>
  <c r="FQ770" i="93"/>
  <c r="FS770" i="93"/>
  <c r="HH770" i="93"/>
  <c r="HR770" i="93"/>
  <c r="IB770" i="93"/>
  <c r="FJ770" i="93"/>
  <c r="HI770" i="93"/>
  <c r="HS770" i="93"/>
  <c r="FU770" i="93"/>
  <c r="GU770" i="93"/>
  <c r="GN770" i="93"/>
  <c r="IC770" i="93"/>
  <c r="FK770" i="93"/>
  <c r="HY770" i="93"/>
  <c r="GV770" i="93"/>
  <c r="HF770" i="93"/>
  <c r="HP770" i="93"/>
  <c r="HZ770" i="93"/>
  <c r="GL770" i="93"/>
  <c r="GB770" i="93"/>
  <c r="FR770" i="93"/>
  <c r="IA770" i="93"/>
  <c r="FI770" i="93"/>
  <c r="GM770" i="93"/>
  <c r="GC770" i="93"/>
  <c r="GX770" i="93"/>
  <c r="FT770" i="93"/>
  <c r="GY770" i="93"/>
  <c r="GE770" i="93"/>
  <c r="FH770" i="93"/>
  <c r="GW770" i="93"/>
  <c r="HQ770" i="93"/>
  <c r="GD770" i="93"/>
  <c r="GO770" i="93"/>
  <c r="IJ775" i="93"/>
  <c r="K781" i="93"/>
  <c r="L781" i="93" s="1"/>
  <c r="IQ772" i="93"/>
  <c r="IP774" i="93"/>
  <c r="R13" i="75"/>
  <c r="R770" i="93" s="1"/>
  <c r="HY771" i="93"/>
  <c r="GV771" i="93"/>
  <c r="HF771" i="93"/>
  <c r="HP771" i="93"/>
  <c r="HZ771" i="93"/>
  <c r="GL771" i="93"/>
  <c r="GB771" i="93"/>
  <c r="FR771" i="93"/>
  <c r="IA771" i="93"/>
  <c r="FI771" i="93"/>
  <c r="GM771" i="93"/>
  <c r="GC771" i="93"/>
  <c r="GX771" i="93"/>
  <c r="FT771" i="93"/>
  <c r="GY771" i="93"/>
  <c r="GE771" i="93"/>
  <c r="GU771" i="93"/>
  <c r="HE771" i="93"/>
  <c r="HO771" i="93"/>
  <c r="GK771" i="93"/>
  <c r="GA771" i="93"/>
  <c r="FQ771" i="93"/>
  <c r="FS771" i="93"/>
  <c r="HH771" i="93"/>
  <c r="HR771" i="93"/>
  <c r="IB771" i="93"/>
  <c r="FJ771" i="93"/>
  <c r="HI771" i="93"/>
  <c r="HS771" i="93"/>
  <c r="FU771" i="93"/>
  <c r="FG771" i="93"/>
  <c r="FH771" i="93"/>
  <c r="GW771" i="93"/>
  <c r="HG771" i="93"/>
  <c r="HQ771" i="93"/>
  <c r="GD771" i="93"/>
  <c r="GO771" i="93"/>
  <c r="IC771" i="93"/>
  <c r="HO772" i="93"/>
  <c r="FH772" i="93"/>
  <c r="GW772" i="93"/>
  <c r="HG772" i="93"/>
  <c r="HQ772" i="93"/>
  <c r="GD772" i="93"/>
  <c r="GO772" i="93"/>
  <c r="GU772" i="93"/>
  <c r="HY772" i="93"/>
  <c r="GV772" i="93"/>
  <c r="HF772" i="93"/>
  <c r="HP772" i="93"/>
  <c r="GL772" i="93"/>
  <c r="GB772" i="93"/>
  <c r="FI772" i="93"/>
  <c r="GM772" i="93"/>
  <c r="GC772" i="93"/>
  <c r="GX772" i="93"/>
  <c r="GY772" i="93"/>
  <c r="GE772" i="93"/>
  <c r="GN772" i="93"/>
  <c r="FK772" i="93"/>
  <c r="R15" i="75"/>
  <c r="R772" i="93" s="1"/>
  <c r="Q772" i="93"/>
  <c r="GN775" i="93"/>
  <c r="FK775" i="93"/>
  <c r="HQ775" i="93"/>
  <c r="IA775" i="93"/>
  <c r="GD775" i="93"/>
  <c r="FT775" i="93"/>
  <c r="GO775" i="93"/>
  <c r="FJ775" i="93"/>
  <c r="HS775" i="93"/>
  <c r="IC775" i="93"/>
  <c r="L65" i="73"/>
  <c r="L59" i="73"/>
  <c r="L55" i="73"/>
  <c r="L49" i="73"/>
  <c r="AN768" i="93"/>
  <c r="HO769" i="93"/>
  <c r="GU775" i="93"/>
  <c r="HQ774" i="93"/>
  <c r="GA773" i="93"/>
  <c r="GU769" i="93"/>
  <c r="F21" i="74"/>
  <c r="G13" i="86" s="1"/>
  <c r="GW769" i="93"/>
  <c r="E21" i="74"/>
  <c r="F13" i="86" s="1"/>
  <c r="R10" i="75"/>
  <c r="R767" i="93" s="1"/>
  <c r="R12" i="75"/>
  <c r="R769" i="93" s="1"/>
  <c r="R14" i="75"/>
  <c r="R771" i="93" s="1"/>
  <c r="W768" i="93"/>
  <c r="E39" i="72"/>
  <c r="E1593" i="93" s="1"/>
  <c r="O1916" i="93"/>
  <c r="L1916" i="93" s="1"/>
  <c r="L1923" i="93"/>
  <c r="L1918" i="93"/>
  <c r="K932" i="93"/>
  <c r="K53" i="74"/>
  <c r="D23" i="74"/>
  <c r="E10" i="87" s="1"/>
  <c r="F53" i="74"/>
  <c r="J23" i="74"/>
  <c r="F23" i="74"/>
  <c r="H36" i="86"/>
  <c r="I1039" i="93"/>
  <c r="I1050" i="93" s="1"/>
  <c r="B53" i="74"/>
  <c r="B1009" i="93" s="1"/>
  <c r="G53" i="74"/>
  <c r="G65" i="82" s="1"/>
  <c r="D53" i="74"/>
  <c r="HN774" i="93"/>
  <c r="FL773" i="93"/>
  <c r="GQ773" i="93"/>
  <c r="HV773" i="93"/>
  <c r="FK774" i="93"/>
  <c r="IB774" i="93"/>
  <c r="FL774" i="93"/>
  <c r="W773" i="93"/>
  <c r="AE773" i="93"/>
  <c r="AM773" i="93"/>
  <c r="AU773" i="93"/>
  <c r="BC773" i="93"/>
  <c r="BK773" i="93"/>
  <c r="BS773" i="93"/>
  <c r="CA773" i="93"/>
  <c r="CI773" i="93"/>
  <c r="CR773" i="93"/>
  <c r="CZ773" i="93"/>
  <c r="DL773" i="93"/>
  <c r="EC773" i="93"/>
  <c r="ES773" i="93"/>
  <c r="FP773" i="93"/>
  <c r="GZ773" i="93"/>
  <c r="IF773" i="93"/>
  <c r="IR773" i="93"/>
  <c r="JO773" i="93"/>
  <c r="GN774" i="93"/>
  <c r="FG775" i="93"/>
  <c r="HK774" i="93"/>
  <c r="HJ774" i="93"/>
  <c r="FE774" i="93"/>
  <c r="X773" i="93"/>
  <c r="AF773" i="93"/>
  <c r="AN773" i="93"/>
  <c r="AV773" i="93"/>
  <c r="BD773" i="93"/>
  <c r="BL773" i="93"/>
  <c r="BT773" i="93"/>
  <c r="CB773" i="93"/>
  <c r="CJ773" i="93"/>
  <c r="CS773" i="93"/>
  <c r="DA773" i="93"/>
  <c r="DQ773" i="93"/>
  <c r="EJ773" i="93"/>
  <c r="EY773" i="93"/>
  <c r="FY773" i="93"/>
  <c r="HD773" i="93"/>
  <c r="FF774" i="93"/>
  <c r="GO773" i="93"/>
  <c r="JE775" i="93"/>
  <c r="IY773" i="93"/>
  <c r="IW773" i="93"/>
  <c r="JI775" i="93"/>
  <c r="JM775" i="93"/>
  <c r="HS773" i="93"/>
  <c r="JF775" i="93"/>
  <c r="JJ775" i="93"/>
  <c r="JN775" i="93"/>
  <c r="K773" i="93"/>
  <c r="L773" i="93" s="1"/>
  <c r="EX775" i="93"/>
  <c r="HU775" i="93"/>
  <c r="JC775" i="93"/>
  <c r="JG775" i="93"/>
  <c r="JK775" i="93"/>
  <c r="JO775" i="93"/>
  <c r="L775" i="93"/>
  <c r="JD775" i="93"/>
  <c r="JH775" i="93"/>
  <c r="JL775" i="93"/>
  <c r="JD771" i="93"/>
  <c r="JH771" i="93"/>
  <c r="JL771" i="93"/>
  <c r="JP771" i="93"/>
  <c r="W771" i="93"/>
  <c r="EW771" i="93"/>
  <c r="HT771" i="93"/>
  <c r="JE771" i="93"/>
  <c r="JI771" i="93"/>
  <c r="JM771" i="93"/>
  <c r="JQ771" i="93"/>
  <c r="BZ771" i="93"/>
  <c r="EH771" i="93"/>
  <c r="JF771" i="93"/>
  <c r="JJ771" i="93"/>
  <c r="P513" i="93"/>
  <c r="P554" i="93"/>
  <c r="P519" i="93"/>
  <c r="G519" i="93"/>
  <c r="EL774" i="93"/>
  <c r="DP774" i="93"/>
  <c r="DE773" i="93"/>
  <c r="DM773" i="93"/>
  <c r="DU773" i="93"/>
  <c r="EF773" i="93"/>
  <c r="EN773" i="93"/>
  <c r="EV773" i="93"/>
  <c r="IN773" i="93"/>
  <c r="IV773" i="93"/>
  <c r="DH773" i="93"/>
  <c r="DP773" i="93"/>
  <c r="DY773" i="93"/>
  <c r="EG773" i="93"/>
  <c r="EO773" i="93"/>
  <c r="IO773" i="93"/>
  <c r="EN772" i="93"/>
  <c r="EJ772" i="93"/>
  <c r="EF772" i="93"/>
  <c r="DE772" i="93"/>
  <c r="EK772" i="93"/>
  <c r="JA772" i="93"/>
  <c r="DZ772" i="93"/>
  <c r="JB772" i="93"/>
  <c r="EE772" i="93"/>
  <c r="ER772" i="93"/>
  <c r="DX772" i="93"/>
  <c r="DD772" i="93"/>
  <c r="DP772" i="93"/>
  <c r="DQ772" i="93"/>
  <c r="ED772" i="93"/>
  <c r="EI772" i="93"/>
  <c r="JL772" i="93"/>
  <c r="DU772" i="93"/>
  <c r="DJ772" i="93"/>
  <c r="EP772" i="93"/>
  <c r="DO772" i="93"/>
  <c r="EU772" i="93"/>
  <c r="DE770" i="93"/>
  <c r="DZ770" i="93"/>
  <c r="EU770" i="93"/>
  <c r="IW770" i="93"/>
  <c r="DI770" i="93"/>
  <c r="ED770" i="93"/>
  <c r="JH770" i="93"/>
  <c r="DH767" i="93"/>
  <c r="K774" i="93"/>
  <c r="L774" i="93" s="1"/>
  <c r="R17" i="75"/>
  <c r="R774" i="93" s="1"/>
  <c r="E37" i="78"/>
  <c r="I44" i="68"/>
  <c r="I407" i="93" s="1"/>
  <c r="L393" i="93"/>
  <c r="JN770" i="93"/>
  <c r="JO770" i="93"/>
  <c r="JG770" i="93"/>
  <c r="JP770" i="93"/>
  <c r="K942" i="93"/>
  <c r="J746" i="93"/>
  <c r="I746" i="93"/>
  <c r="I14" i="75"/>
  <c r="I771" i="93" s="1"/>
  <c r="K771" i="93" s="1"/>
  <c r="L771" i="93" s="1"/>
  <c r="M1397" i="93"/>
  <c r="L1397" i="93" s="1"/>
  <c r="JP772" i="93"/>
  <c r="JD772" i="93"/>
  <c r="J554" i="93"/>
  <c r="P500" i="93"/>
  <c r="JG772" i="93"/>
  <c r="JM772" i="93"/>
  <c r="JQ772" i="93"/>
  <c r="X772" i="93"/>
  <c r="EX772" i="93"/>
  <c r="HU772" i="93"/>
  <c r="JH772" i="93"/>
  <c r="JN772" i="93"/>
  <c r="A772" i="93"/>
  <c r="JC772" i="93"/>
  <c r="JK772" i="93"/>
  <c r="JL774" i="93"/>
  <c r="F35" i="78"/>
  <c r="P469" i="93"/>
  <c r="K60" i="84"/>
  <c r="E60" i="84"/>
  <c r="G60" i="84"/>
  <c r="I60" i="84"/>
  <c r="P924" i="93"/>
  <c r="M513" i="93"/>
  <c r="JH773" i="93"/>
  <c r="JC773" i="93"/>
  <c r="DX773" i="93"/>
  <c r="JJ773" i="93"/>
  <c r="CO773" i="93"/>
  <c r="JJ772" i="93"/>
  <c r="A771" i="93"/>
  <c r="GM775" i="93"/>
  <c r="HZ775" i="93"/>
  <c r="HF775" i="93"/>
  <c r="HR775" i="93"/>
  <c r="FR775" i="93"/>
  <c r="GL775" i="93"/>
  <c r="HI775" i="93"/>
  <c r="HH775" i="93"/>
  <c r="GW775" i="93"/>
  <c r="GV775" i="93"/>
  <c r="GA775" i="93"/>
  <c r="HP775" i="93"/>
  <c r="DA775" i="93"/>
  <c r="BZ775" i="93"/>
  <c r="BU775" i="93"/>
  <c r="DE775" i="93"/>
  <c r="BA775" i="93"/>
  <c r="BP775" i="93"/>
  <c r="BY775" i="93"/>
  <c r="ID775" i="93"/>
  <c r="EN775" i="93"/>
  <c r="AG775" i="93"/>
  <c r="CJ775" i="93"/>
  <c r="CW775" i="93"/>
  <c r="R18" i="75"/>
  <c r="R775" i="93" s="1"/>
  <c r="HO775" i="93"/>
  <c r="BO775" i="93"/>
  <c r="DR775" i="93"/>
  <c r="DZ775" i="93"/>
  <c r="IE775" i="93"/>
  <c r="FB774" i="93"/>
  <c r="JM774" i="93"/>
  <c r="GZ774" i="93"/>
  <c r="FO774" i="93"/>
  <c r="HD774" i="93"/>
  <c r="FN774" i="93"/>
  <c r="HC774" i="93"/>
  <c r="FM774" i="93"/>
  <c r="HA774" i="93"/>
  <c r="JP774" i="93"/>
  <c r="FP774" i="93"/>
  <c r="JN774" i="93"/>
  <c r="GO774" i="93"/>
  <c r="HI774" i="93"/>
  <c r="FT774" i="93"/>
  <c r="HR774" i="93"/>
  <c r="GX774" i="93"/>
  <c r="GM774" i="93"/>
  <c r="FQ774" i="93"/>
  <c r="JO774" i="93"/>
  <c r="JG774" i="93"/>
  <c r="GP774" i="93"/>
  <c r="FD774" i="93"/>
  <c r="JQ774" i="93"/>
  <c r="GT774" i="93"/>
  <c r="FC774" i="93"/>
  <c r="GH774" i="93"/>
  <c r="FY774" i="93"/>
  <c r="HM774" i="93"/>
  <c r="HB774" i="93"/>
  <c r="FV774" i="93"/>
  <c r="HW774" i="93"/>
  <c r="FU774" i="93"/>
  <c r="IC774" i="93"/>
  <c r="GD774" i="93"/>
  <c r="FJ774" i="93"/>
  <c r="FS774" i="93"/>
  <c r="FR774" i="93"/>
  <c r="GB774" i="93"/>
  <c r="HX774" i="93"/>
  <c r="HV774" i="93"/>
  <c r="GJ774" i="93"/>
  <c r="HT774" i="93"/>
  <c r="GI774" i="93"/>
  <c r="FW774" i="93"/>
  <c r="GG774" i="93"/>
  <c r="HU774" i="93"/>
  <c r="GF774" i="93"/>
  <c r="GQ774" i="93"/>
  <c r="GE774" i="93"/>
  <c r="HS774" i="93"/>
  <c r="GY774" i="93"/>
  <c r="HH774" i="93"/>
  <c r="GC774" i="93"/>
  <c r="DJ774" i="93"/>
  <c r="JJ774" i="93"/>
  <c r="EO774" i="93"/>
  <c r="JD774" i="93"/>
  <c r="JC774" i="93"/>
  <c r="DQ774" i="93"/>
  <c r="JK774" i="93"/>
  <c r="JE774" i="93"/>
  <c r="JH774" i="93"/>
  <c r="IV774" i="93"/>
  <c r="JF774" i="93"/>
  <c r="JI774" i="93"/>
  <c r="GU774" i="93"/>
  <c r="FI774" i="93"/>
  <c r="GK774" i="93"/>
  <c r="FH774" i="93"/>
  <c r="HF774" i="93"/>
  <c r="GA774" i="93"/>
  <c r="HE774" i="93"/>
  <c r="HG774" i="93"/>
  <c r="HZ774" i="93"/>
  <c r="GV774" i="93"/>
  <c r="IB773" i="93"/>
  <c r="GX773" i="93"/>
  <c r="JM773" i="93"/>
  <c r="JP773" i="93"/>
  <c r="JK773" i="93"/>
  <c r="JQ773" i="93"/>
  <c r="EZ773" i="93"/>
  <c r="FD773" i="93"/>
  <c r="FM773" i="93"/>
  <c r="FV773" i="93"/>
  <c r="FZ773" i="93"/>
  <c r="GI773" i="93"/>
  <c r="GR773" i="93"/>
  <c r="HA773" i="93"/>
  <c r="HJ773" i="93"/>
  <c r="HN773" i="93"/>
  <c r="HW773" i="93"/>
  <c r="JN773" i="93"/>
  <c r="GE773" i="93"/>
  <c r="FT773" i="93"/>
  <c r="FJ773" i="93"/>
  <c r="HH773" i="93"/>
  <c r="GK773" i="93"/>
  <c r="JI773" i="93"/>
  <c r="JD773" i="93"/>
  <c r="JG773" i="93"/>
  <c r="EW773" i="93"/>
  <c r="FA773" i="93"/>
  <c r="FE773" i="93"/>
  <c r="FN773" i="93"/>
  <c r="FW773" i="93"/>
  <c r="GF773" i="93"/>
  <c r="GJ773" i="93"/>
  <c r="GS773" i="93"/>
  <c r="HB773" i="93"/>
  <c r="HK773" i="93"/>
  <c r="HT773" i="93"/>
  <c r="HX773" i="93"/>
  <c r="IC773" i="93"/>
  <c r="GY773" i="93"/>
  <c r="GN773" i="93"/>
  <c r="HR773" i="93"/>
  <c r="FS773" i="93"/>
  <c r="GM773" i="93"/>
  <c r="GW773" i="93"/>
  <c r="GL773" i="93"/>
  <c r="FI773" i="93"/>
  <c r="JE773" i="93"/>
  <c r="JL773" i="93"/>
  <c r="EX773" i="93"/>
  <c r="FB773" i="93"/>
  <c r="FF773" i="93"/>
  <c r="FO773" i="93"/>
  <c r="FX773" i="93"/>
  <c r="GG773" i="93"/>
  <c r="GP773" i="93"/>
  <c r="GT773" i="93"/>
  <c r="HC773" i="93"/>
  <c r="HL773" i="93"/>
  <c r="HU773" i="93"/>
  <c r="JF773" i="93"/>
  <c r="FU773" i="93"/>
  <c r="FK773" i="93"/>
  <c r="HI773" i="93"/>
  <c r="GD773" i="93"/>
  <c r="HQ773" i="93"/>
  <c r="GV773" i="93"/>
  <c r="Y773" i="93"/>
  <c r="AC773" i="93"/>
  <c r="AG773" i="93"/>
  <c r="AK773" i="93"/>
  <c r="AO773" i="93"/>
  <c r="AS773" i="93"/>
  <c r="AW773" i="93"/>
  <c r="BA773" i="93"/>
  <c r="BE773" i="93"/>
  <c r="BI773" i="93"/>
  <c r="BM773" i="93"/>
  <c r="BQ773" i="93"/>
  <c r="BU773" i="93"/>
  <c r="BY773" i="93"/>
  <c r="CC773" i="93"/>
  <c r="CG773" i="93"/>
  <c r="CK773" i="93"/>
  <c r="CP773" i="93"/>
  <c r="CT773" i="93"/>
  <c r="CX773" i="93"/>
  <c r="DB773" i="93"/>
  <c r="DF773" i="93"/>
  <c r="DJ773" i="93"/>
  <c r="DN773" i="93"/>
  <c r="DR773" i="93"/>
  <c r="DV773" i="93"/>
  <c r="DZ773" i="93"/>
  <c r="ED773" i="93"/>
  <c r="EH773" i="93"/>
  <c r="EL773" i="93"/>
  <c r="EP773" i="93"/>
  <c r="ET773" i="93"/>
  <c r="ID773" i="93"/>
  <c r="IH773" i="93"/>
  <c r="IL773" i="93"/>
  <c r="IP773" i="93"/>
  <c r="IT773" i="93"/>
  <c r="IX773" i="93"/>
  <c r="JB773" i="93"/>
  <c r="Z773" i="93"/>
  <c r="AD773" i="93"/>
  <c r="AH773" i="93"/>
  <c r="AL773" i="93"/>
  <c r="AP773" i="93"/>
  <c r="AT773" i="93"/>
  <c r="AX773" i="93"/>
  <c r="BB773" i="93"/>
  <c r="BF773" i="93"/>
  <c r="BJ773" i="93"/>
  <c r="BN773" i="93"/>
  <c r="BR773" i="93"/>
  <c r="BV773" i="93"/>
  <c r="BZ773" i="93"/>
  <c r="CD773" i="93"/>
  <c r="CH773" i="93"/>
  <c r="CL773" i="93"/>
  <c r="CQ773" i="93"/>
  <c r="CU773" i="93"/>
  <c r="CY773" i="93"/>
  <c r="DC773" i="93"/>
  <c r="DG773" i="93"/>
  <c r="DK773" i="93"/>
  <c r="DO773" i="93"/>
  <c r="DS773" i="93"/>
  <c r="DW773" i="93"/>
  <c r="EA773" i="93"/>
  <c r="EE773" i="93"/>
  <c r="EI773" i="93"/>
  <c r="EM773" i="93"/>
  <c r="EQ773" i="93"/>
  <c r="EU773" i="93"/>
  <c r="IE773" i="93"/>
  <c r="II773" i="93"/>
  <c r="IM773" i="93"/>
  <c r="IQ773" i="93"/>
  <c r="IU773" i="93"/>
  <c r="IA773" i="93"/>
  <c r="HG773" i="93"/>
  <c r="HZ773" i="93"/>
  <c r="FQ773" i="93"/>
  <c r="GB773" i="93"/>
  <c r="HP773" i="93"/>
  <c r="HY773" i="93"/>
  <c r="HE773" i="93"/>
  <c r="GU773" i="93"/>
  <c r="A773" i="93"/>
  <c r="F925" i="93"/>
  <c r="K61" i="84"/>
  <c r="G61" i="84"/>
  <c r="G59" i="84"/>
  <c r="K923" i="93"/>
  <c r="C58" i="84"/>
  <c r="I58" i="84" s="1"/>
  <c r="E66" i="84"/>
  <c r="G66" i="84"/>
  <c r="I66" i="84"/>
  <c r="C53" i="82"/>
  <c r="C56" i="86"/>
  <c r="F16" i="86"/>
  <c r="M500" i="93"/>
  <c r="G513" i="93"/>
  <c r="J513" i="93"/>
  <c r="G500" i="93"/>
  <c r="M132" i="78"/>
  <c r="M149" i="78" s="1"/>
  <c r="M151" i="78" s="1"/>
  <c r="M153" i="78" s="1"/>
  <c r="C41" i="74"/>
  <c r="I421" i="93"/>
  <c r="S541" i="93"/>
  <c r="G541" i="93"/>
  <c r="G16" i="86"/>
  <c r="C36" i="86"/>
  <c r="D36" i="86"/>
  <c r="P474" i="93"/>
  <c r="P132" i="78"/>
  <c r="P149" i="78" s="1"/>
  <c r="P151" i="78" s="1"/>
  <c r="P153" i="78" s="1"/>
  <c r="G474" i="93"/>
  <c r="J132" i="78"/>
  <c r="J149" i="78" s="1"/>
  <c r="J151" i="78" s="1"/>
  <c r="J153" i="78" s="1"/>
  <c r="J474" i="93"/>
  <c r="J469" i="93"/>
  <c r="F36" i="78"/>
  <c r="G463" i="93"/>
  <c r="E472" i="93" s="1"/>
  <c r="E36" i="78"/>
  <c r="E35" i="78"/>
  <c r="B44" i="78"/>
  <c r="L31" i="68"/>
  <c r="F37" i="78"/>
  <c r="S132" i="78"/>
  <c r="F461" i="93"/>
  <c r="G132" i="78"/>
  <c r="I422" i="93" s="1"/>
  <c r="IV772" i="93"/>
  <c r="DH772" i="93"/>
  <c r="DT772" i="93"/>
  <c r="IN772" i="93"/>
  <c r="DI772" i="93"/>
  <c r="DY772" i="93"/>
  <c r="EO772" i="93"/>
  <c r="IO772" i="93"/>
  <c r="DR772" i="93"/>
  <c r="EH772" i="93"/>
  <c r="IT772" i="93"/>
  <c r="DG772" i="93"/>
  <c r="DW772" i="93"/>
  <c r="EM772" i="93"/>
  <c r="IY772" i="93"/>
  <c r="DL772" i="93"/>
  <c r="JE772" i="93"/>
  <c r="JI772" i="93"/>
  <c r="EV772" i="93"/>
  <c r="DM772" i="93"/>
  <c r="EC772" i="93"/>
  <c r="ES772" i="93"/>
  <c r="IS772" i="93"/>
  <c r="DF772" i="93"/>
  <c r="DV772" i="93"/>
  <c r="EL772" i="93"/>
  <c r="IX772" i="93"/>
  <c r="DK772" i="93"/>
  <c r="EA772" i="93"/>
  <c r="EQ772" i="93"/>
  <c r="EB772" i="93"/>
  <c r="IZ772" i="93"/>
  <c r="JF772" i="93"/>
  <c r="CA772" i="93"/>
  <c r="Q770" i="93"/>
  <c r="JD770" i="93"/>
  <c r="JK770" i="93"/>
  <c r="EW770" i="93"/>
  <c r="DS770" i="93"/>
  <c r="JC770" i="93"/>
  <c r="JQ770" i="93"/>
  <c r="JE770" i="93"/>
  <c r="JF770" i="93"/>
  <c r="JL770" i="93"/>
  <c r="BZ770" i="93"/>
  <c r="W770" i="93"/>
  <c r="JI770" i="93"/>
  <c r="HT770" i="93"/>
  <c r="JJ770" i="93"/>
  <c r="E805" i="93"/>
  <c r="JM770" i="93"/>
  <c r="CM774" i="93"/>
  <c r="AC775" i="93"/>
  <c r="BV775" i="93"/>
  <c r="CC775" i="93"/>
  <c r="CX775" i="93"/>
  <c r="DB775" i="93"/>
  <c r="EC775" i="93"/>
  <c r="IO775" i="93"/>
  <c r="AQ774" i="93"/>
  <c r="FS775" i="93"/>
  <c r="GC773" i="93"/>
  <c r="FI775" i="93"/>
  <c r="IA774" i="93"/>
  <c r="HG775" i="93"/>
  <c r="GW774" i="93"/>
  <c r="FR773" i="93"/>
  <c r="GB775" i="93"/>
  <c r="GL774" i="93"/>
  <c r="FH773" i="93"/>
  <c r="HP774" i="93"/>
  <c r="HF773" i="93"/>
  <c r="FQ775" i="93"/>
  <c r="IW775" i="93"/>
  <c r="CA775" i="93"/>
  <c r="EU774" i="93"/>
  <c r="BN774" i="93"/>
  <c r="ED775" i="93"/>
  <c r="AE775" i="93"/>
  <c r="AJ775" i="93"/>
  <c r="DH775" i="93"/>
  <c r="IZ775" i="93"/>
  <c r="CX774" i="93"/>
  <c r="AO774" i="93"/>
  <c r="DH774" i="93"/>
  <c r="CZ774" i="93"/>
  <c r="AN774" i="93"/>
  <c r="CW774" i="93"/>
  <c r="BN775" i="93"/>
  <c r="DY774" i="93"/>
  <c r="AM775" i="93"/>
  <c r="BW775" i="93"/>
  <c r="CM775" i="93"/>
  <c r="CY775" i="93"/>
  <c r="DC775" i="93"/>
  <c r="EM775" i="93"/>
  <c r="IY775" i="93"/>
  <c r="IX775" i="93"/>
  <c r="EU775" i="93"/>
  <c r="BB775" i="93"/>
  <c r="DZ774" i="93"/>
  <c r="AX774" i="93"/>
  <c r="EJ774" i="93"/>
  <c r="DI775" i="93"/>
  <c r="AZ775" i="93"/>
  <c r="DX775" i="93"/>
  <c r="DB774" i="93"/>
  <c r="CR774" i="93"/>
  <c r="CV774" i="93"/>
  <c r="IU774" i="93"/>
  <c r="CU774" i="93"/>
  <c r="BI774" i="93"/>
  <c r="DA774" i="93"/>
  <c r="CV775" i="93"/>
  <c r="BY774" i="93"/>
  <c r="BI775" i="93"/>
  <c r="BX775" i="93"/>
  <c r="CT775" i="93"/>
  <c r="CZ775" i="93"/>
  <c r="DG775" i="93"/>
  <c r="HE775" i="93"/>
  <c r="HY774" i="93"/>
  <c r="HO773" i="93"/>
  <c r="IQ775" i="93"/>
  <c r="EP775" i="93"/>
  <c r="DU775" i="93"/>
  <c r="CQ775" i="93"/>
  <c r="BR775" i="93"/>
  <c r="AW775" i="93"/>
  <c r="AA775" i="93"/>
  <c r="IQ774" i="93"/>
  <c r="EP774" i="93"/>
  <c r="DV774" i="93"/>
  <c r="DF774" i="93"/>
  <c r="CD774" i="93"/>
  <c r="BJ774" i="93"/>
  <c r="AT774" i="93"/>
  <c r="AD774" i="93"/>
  <c r="EN774" i="93"/>
  <c r="IJ774" i="93"/>
  <c r="IZ774" i="93"/>
  <c r="IU775" i="93"/>
  <c r="ET775" i="93"/>
  <c r="DY775" i="93"/>
  <c r="CP775" i="93"/>
  <c r="BQ775" i="93"/>
  <c r="AU775" i="93"/>
  <c r="Z775" i="93"/>
  <c r="X775" i="93"/>
  <c r="AN775" i="93"/>
  <c r="BD775" i="93"/>
  <c r="BT775" i="93"/>
  <c r="CN775" i="93"/>
  <c r="DL775" i="93"/>
  <c r="EB775" i="93"/>
  <c r="ER775" i="93"/>
  <c r="IN775" i="93"/>
  <c r="ED774" i="93"/>
  <c r="Y774" i="93"/>
  <c r="JA774" i="93"/>
  <c r="EQ774" i="93"/>
  <c r="DI774" i="93"/>
  <c r="CK774" i="93"/>
  <c r="BK774" i="93"/>
  <c r="AG774" i="93"/>
  <c r="IY774" i="93"/>
  <c r="EM774" i="93"/>
  <c r="BP774" i="93"/>
  <c r="AF774" i="93"/>
  <c r="ID774" i="93"/>
  <c r="DT774" i="93"/>
  <c r="CG774" i="93"/>
  <c r="AZ774" i="93"/>
  <c r="X774" i="93"/>
  <c r="AS774" i="93"/>
  <c r="BO774" i="93"/>
  <c r="CI774" i="93"/>
  <c r="DU774" i="93"/>
  <c r="IX774" i="93"/>
  <c r="BC775" i="93"/>
  <c r="BE775" i="93"/>
  <c r="AJ774" i="93"/>
  <c r="IK774" i="93"/>
  <c r="AD775" i="93"/>
  <c r="AO775" i="93"/>
  <c r="BJ775" i="93"/>
  <c r="CD775" i="93"/>
  <c r="CO775" i="93"/>
  <c r="DK775" i="93"/>
  <c r="DV775" i="93"/>
  <c r="EG775" i="93"/>
  <c r="EQ775" i="93"/>
  <c r="IH775" i="93"/>
  <c r="IS775" i="93"/>
  <c r="FG774" i="93"/>
  <c r="HY775" i="93"/>
  <c r="HO774" i="93"/>
  <c r="IL775" i="93"/>
  <c r="EK775" i="93"/>
  <c r="DO775" i="93"/>
  <c r="CL775" i="93"/>
  <c r="BM775" i="93"/>
  <c r="AQ775" i="93"/>
  <c r="A775" i="93"/>
  <c r="IL774" i="93"/>
  <c r="EK774" i="93"/>
  <c r="DR774" i="93"/>
  <c r="CP774" i="93"/>
  <c r="BZ774" i="93"/>
  <c r="BF774" i="93"/>
  <c r="AP774" i="93"/>
  <c r="Z774" i="93"/>
  <c r="EB774" i="93"/>
  <c r="ER774" i="93"/>
  <c r="IN774" i="93"/>
  <c r="IP775" i="93"/>
  <c r="EO775" i="93"/>
  <c r="DS775" i="93"/>
  <c r="CK775" i="93"/>
  <c r="BK775" i="93"/>
  <c r="AP775" i="93"/>
  <c r="AB775" i="93"/>
  <c r="AR775" i="93"/>
  <c r="BH775" i="93"/>
  <c r="CB775" i="93"/>
  <c r="CR775" i="93"/>
  <c r="DP775" i="93"/>
  <c r="EF775" i="93"/>
  <c r="EV775" i="93"/>
  <c r="IR775" i="93"/>
  <c r="IM774" i="93"/>
  <c r="EC774" i="93"/>
  <c r="AR774" i="93"/>
  <c r="IS774" i="93"/>
  <c r="EG774" i="93"/>
  <c r="CE774" i="93"/>
  <c r="BC774" i="93"/>
  <c r="AA774" i="93"/>
  <c r="IO774" i="93"/>
  <c r="DW774" i="93"/>
  <c r="CQ774" i="93"/>
  <c r="BH774" i="93"/>
  <c r="DM774" i="93"/>
  <c r="CA774" i="93"/>
  <c r="AK774" i="93"/>
  <c r="AC774" i="93"/>
  <c r="AY774" i="93"/>
  <c r="BT774" i="93"/>
  <c r="CN774" i="93"/>
  <c r="DE774" i="93"/>
  <c r="EA774" i="93"/>
  <c r="AS775" i="93"/>
  <c r="AT775" i="93"/>
  <c r="AW774" i="93"/>
  <c r="AB774" i="93"/>
  <c r="EI774" i="93"/>
  <c r="DS774" i="93"/>
  <c r="DL774" i="93"/>
  <c r="W775" i="93"/>
  <c r="AH775" i="93"/>
  <c r="AX775" i="93"/>
  <c r="BS775" i="93"/>
  <c r="CH775" i="93"/>
  <c r="CS775" i="93"/>
  <c r="DM775" i="93"/>
  <c r="DW775" i="93"/>
  <c r="EH775" i="93"/>
  <c r="ES775" i="93"/>
  <c r="II775" i="93"/>
  <c r="IT775" i="93"/>
  <c r="ES774" i="93"/>
  <c r="GK775" i="93"/>
  <c r="FG773" i="93"/>
  <c r="JB775" i="93"/>
  <c r="IG775" i="93"/>
  <c r="EE775" i="93"/>
  <c r="DJ775" i="93"/>
  <c r="CG775" i="93"/>
  <c r="BG775" i="93"/>
  <c r="AL775" i="93"/>
  <c r="JB774" i="93"/>
  <c r="IG774" i="93"/>
  <c r="EE774" i="93"/>
  <c r="DN774" i="93"/>
  <c r="CL774" i="93"/>
  <c r="BR774" i="93"/>
  <c r="BB774" i="93"/>
  <c r="AL774" i="93"/>
  <c r="A774" i="93"/>
  <c r="EF774" i="93"/>
  <c r="EV774" i="93"/>
  <c r="IR774" i="93"/>
  <c r="IK775" i="93"/>
  <c r="EI775" i="93"/>
  <c r="DN775" i="93"/>
  <c r="CE775" i="93"/>
  <c r="BF775" i="93"/>
  <c r="AK775" i="93"/>
  <c r="AF775" i="93"/>
  <c r="AV775" i="93"/>
  <c r="BL775" i="93"/>
  <c r="CF775" i="93"/>
  <c r="DD775" i="93"/>
  <c r="DT775" i="93"/>
  <c r="EJ775" i="93"/>
  <c r="IF775" i="93"/>
  <c r="IV775" i="93"/>
  <c r="CB774" i="93"/>
  <c r="DG774" i="93"/>
  <c r="W774" i="93"/>
  <c r="IH774" i="93"/>
  <c r="DX774" i="93"/>
  <c r="AV774" i="93"/>
  <c r="IE774" i="93"/>
  <c r="DO774" i="93"/>
  <c r="CJ774" i="93"/>
  <c r="BA774" i="93"/>
  <c r="ET774" i="93"/>
  <c r="BM774" i="93"/>
  <c r="AE774" i="93"/>
  <c r="AI774" i="93"/>
  <c r="BD774" i="93"/>
  <c r="CS774" i="93"/>
  <c r="DK774" i="93"/>
  <c r="EH774" i="93"/>
  <c r="II774" i="93"/>
  <c r="BL774" i="93"/>
  <c r="BE774" i="93"/>
  <c r="DD774" i="93"/>
  <c r="IT774" i="93"/>
  <c r="BS774" i="93"/>
  <c r="Y775" i="93"/>
  <c r="AI775" i="93"/>
  <c r="AY775" i="93"/>
  <c r="CI775" i="93"/>
  <c r="DF775" i="93"/>
  <c r="DQ775" i="93"/>
  <c r="EA775" i="93"/>
  <c r="EL775" i="93"/>
  <c r="IM775" i="93"/>
  <c r="FU772" i="93"/>
  <c r="IC772" i="93"/>
  <c r="FT772" i="93"/>
  <c r="IB772" i="93"/>
  <c r="FS772" i="93"/>
  <c r="IA772" i="93"/>
  <c r="FR772" i="93"/>
  <c r="HZ772" i="93"/>
  <c r="FQ772" i="93"/>
  <c r="FG772" i="93"/>
  <c r="BG48" i="75"/>
  <c r="JN48" i="75"/>
  <c r="AY48" i="75"/>
  <c r="M65" i="75" s="1"/>
  <c r="HY48" i="75"/>
  <c r="J94" i="75" s="1"/>
  <c r="BD48" i="75"/>
  <c r="M64" i="75" s="1"/>
  <c r="HP48" i="75"/>
  <c r="K92" i="75" s="1"/>
  <c r="K109" i="75" s="1"/>
  <c r="K56" i="73" s="1"/>
  <c r="HT48" i="75"/>
  <c r="J93" i="75" s="1"/>
  <c r="BI48" i="75"/>
  <c r="GK769" i="93"/>
  <c r="HE769" i="93"/>
  <c r="HM48" i="75"/>
  <c r="M91" i="75" s="1"/>
  <c r="M108" i="75" s="1"/>
  <c r="F1152" i="93" s="1"/>
  <c r="H1152" i="93" s="1"/>
  <c r="AJ48" i="75"/>
  <c r="AS48" i="75"/>
  <c r="BK48" i="75"/>
  <c r="J69" i="75" s="1"/>
  <c r="BS48" i="75"/>
  <c r="M68" i="75" s="1"/>
  <c r="CU48" i="75"/>
  <c r="FO48" i="75"/>
  <c r="M101" i="75" s="1"/>
  <c r="F805" i="93"/>
  <c r="BA48" i="75"/>
  <c r="J64" i="75" s="1"/>
  <c r="DC48" i="75"/>
  <c r="N118" i="75" s="1"/>
  <c r="CY48" i="75"/>
  <c r="J118" i="75" s="1"/>
  <c r="CP48" i="75"/>
  <c r="K116" i="75" s="1"/>
  <c r="CH48" i="75"/>
  <c r="M114" i="75" s="1"/>
  <c r="CF48" i="75"/>
  <c r="K114" i="75" s="1"/>
  <c r="FV48" i="75"/>
  <c r="J99" i="75" s="1"/>
  <c r="FW48" i="75"/>
  <c r="K99" i="75" s="1"/>
  <c r="FX48" i="75"/>
  <c r="L99" i="75" s="1"/>
  <c r="FP48" i="75"/>
  <c r="N101" i="75" s="1"/>
  <c r="GF48" i="75"/>
  <c r="J97" i="75" s="1"/>
  <c r="GQ48" i="75"/>
  <c r="K87" i="75" s="1"/>
  <c r="GJ48" i="75"/>
  <c r="N97" i="75" s="1"/>
  <c r="HN48" i="75"/>
  <c r="N91" i="75" s="1"/>
  <c r="N108" i="75" s="1"/>
  <c r="GZ48" i="75"/>
  <c r="J89" i="75" s="1"/>
  <c r="HW48" i="75"/>
  <c r="M93" i="75" s="1"/>
  <c r="HD48" i="75"/>
  <c r="N89" i="75" s="1"/>
  <c r="AX48" i="75"/>
  <c r="L65" i="75" s="1"/>
  <c r="AH48" i="75"/>
  <c r="AQ48" i="75"/>
  <c r="AU48" i="75"/>
  <c r="BM48" i="75"/>
  <c r="L69" i="75" s="1"/>
  <c r="BQ48" i="75"/>
  <c r="K68" i="75" s="1"/>
  <c r="CJ48" i="75"/>
  <c r="CN48" i="75"/>
  <c r="CW48" i="75"/>
  <c r="EY48" i="75"/>
  <c r="IE48" i="75"/>
  <c r="II48" i="75"/>
  <c r="IM48" i="75"/>
  <c r="GO48" i="75"/>
  <c r="N98" i="75" s="1"/>
  <c r="HI48" i="75"/>
  <c r="N90" i="75" s="1"/>
  <c r="GN48" i="75"/>
  <c r="M98" i="75" s="1"/>
  <c r="HH48" i="75"/>
  <c r="M90" i="75" s="1"/>
  <c r="GM48" i="75"/>
  <c r="L98" i="75" s="1"/>
  <c r="HG48" i="75"/>
  <c r="L90" i="75" s="1"/>
  <c r="GL48" i="75"/>
  <c r="K98" i="75" s="1"/>
  <c r="GA48" i="75"/>
  <c r="J100" i="75" s="1"/>
  <c r="AK48" i="75"/>
  <c r="BH48" i="75"/>
  <c r="BT48" i="75"/>
  <c r="N68" i="75" s="1"/>
  <c r="CM48" i="75"/>
  <c r="EX48" i="75"/>
  <c r="ID48" i="75"/>
  <c r="IH48" i="75"/>
  <c r="IT48" i="75"/>
  <c r="AF48" i="75"/>
  <c r="N57" i="75" s="1"/>
  <c r="AE48" i="75"/>
  <c r="M57" i="75" s="1"/>
  <c r="AD48" i="75"/>
  <c r="L57" i="75" s="1"/>
  <c r="AC48" i="75"/>
  <c r="K57" i="75" s="1"/>
  <c r="AB48" i="75"/>
  <c r="J57" i="75" s="1"/>
  <c r="FK48" i="75"/>
  <c r="N96" i="75" s="1"/>
  <c r="GY48" i="75"/>
  <c r="N88" i="75" s="1"/>
  <c r="FJ48" i="75"/>
  <c r="M96" i="75" s="1"/>
  <c r="GX48" i="75"/>
  <c r="M88" i="75" s="1"/>
  <c r="FI48" i="75"/>
  <c r="L96" i="75" s="1"/>
  <c r="GW48" i="75"/>
  <c r="L88" i="75" s="1"/>
  <c r="FH48" i="75"/>
  <c r="K96" i="75" s="1"/>
  <c r="HF48" i="75"/>
  <c r="K90" i="75" s="1"/>
  <c r="GK48" i="75"/>
  <c r="J98" i="75" s="1"/>
  <c r="HO48" i="75"/>
  <c r="J92" i="75" s="1"/>
  <c r="J109" i="75" s="1"/>
  <c r="JP48" i="75"/>
  <c r="JM48" i="75"/>
  <c r="AZ768" i="93"/>
  <c r="AR768" i="93"/>
  <c r="AJ768" i="93"/>
  <c r="AC768" i="93"/>
  <c r="FU768" i="93"/>
  <c r="GE768" i="93"/>
  <c r="GO768" i="93"/>
  <c r="FK768" i="93"/>
  <c r="IC768" i="93"/>
  <c r="HS768" i="93"/>
  <c r="HI768" i="93"/>
  <c r="GY768" i="93"/>
  <c r="FT768" i="93"/>
  <c r="GD768" i="93"/>
  <c r="GN768" i="93"/>
  <c r="FJ768" i="93"/>
  <c r="IB768" i="93"/>
  <c r="HR768" i="93"/>
  <c r="HH768" i="93"/>
  <c r="GX768" i="93"/>
  <c r="FS768" i="93"/>
  <c r="GC768" i="93"/>
  <c r="GM768" i="93"/>
  <c r="FI768" i="93"/>
  <c r="IA768" i="93"/>
  <c r="HQ768" i="93"/>
  <c r="HG768" i="93"/>
  <c r="GW768" i="93"/>
  <c r="FR768" i="93"/>
  <c r="GB768" i="93"/>
  <c r="GL768" i="93"/>
  <c r="FH768" i="93"/>
  <c r="HZ768" i="93"/>
  <c r="HP768" i="93"/>
  <c r="HF768" i="93"/>
  <c r="GV768" i="93"/>
  <c r="FQ768" i="93"/>
  <c r="GA768" i="93"/>
  <c r="GK768" i="93"/>
  <c r="FG768" i="93"/>
  <c r="HY768" i="93"/>
  <c r="HO768" i="93"/>
  <c r="HE768" i="93"/>
  <c r="AG48" i="75"/>
  <c r="AT48" i="75"/>
  <c r="BL48" i="75"/>
  <c r="K69" i="75" s="1"/>
  <c r="BP48" i="75"/>
  <c r="J68" i="75" s="1"/>
  <c r="CV48" i="75"/>
  <c r="IL48" i="75"/>
  <c r="AZ48" i="75"/>
  <c r="N65" i="75" s="1"/>
  <c r="AW48" i="75"/>
  <c r="K65" i="75" s="1"/>
  <c r="DB48" i="75"/>
  <c r="M118" i="75" s="1"/>
  <c r="CS48" i="75"/>
  <c r="N116" i="75" s="1"/>
  <c r="CO48" i="75"/>
  <c r="J116" i="75" s="1"/>
  <c r="CC48" i="75"/>
  <c r="M113" i="75" s="1"/>
  <c r="CA48" i="75"/>
  <c r="K113" i="75" s="1"/>
  <c r="FB48" i="75"/>
  <c r="J95" i="75" s="1"/>
  <c r="FC48" i="75"/>
  <c r="K95" i="75" s="1"/>
  <c r="FD48" i="75"/>
  <c r="L95" i="75" s="1"/>
  <c r="FY48" i="75"/>
  <c r="M99" i="75" s="1"/>
  <c r="FZ48" i="75"/>
  <c r="N99" i="75" s="1"/>
  <c r="GP48" i="75"/>
  <c r="J87" i="75" s="1"/>
  <c r="GI48" i="75"/>
  <c r="M97" i="75" s="1"/>
  <c r="GT48" i="75"/>
  <c r="N87" i="75" s="1"/>
  <c r="HL48" i="75"/>
  <c r="L91" i="75" s="1"/>
  <c r="L108" i="75" s="1"/>
  <c r="F57" i="73" s="1"/>
  <c r="H57" i="73" s="1"/>
  <c r="HV48" i="75"/>
  <c r="L93" i="75" s="1"/>
  <c r="HC48" i="75"/>
  <c r="M89" i="75" s="1"/>
  <c r="AA48" i="75"/>
  <c r="N56" i="75" s="1"/>
  <c r="Z48" i="75"/>
  <c r="M56" i="75" s="1"/>
  <c r="Y48" i="75"/>
  <c r="L56" i="75" s="1"/>
  <c r="L58" i="75" s="1"/>
  <c r="X48" i="75"/>
  <c r="K56" i="75" s="1"/>
  <c r="K58" i="75" s="1"/>
  <c r="W48" i="75"/>
  <c r="J56" i="75" s="1"/>
  <c r="J58" i="75" s="1"/>
  <c r="D7" i="88" s="1"/>
  <c r="E7" i="88" s="1"/>
  <c r="FU48" i="75"/>
  <c r="N102" i="75" s="1"/>
  <c r="JI48" i="75"/>
  <c r="AW768" i="93"/>
  <c r="AO768" i="93"/>
  <c r="AG768" i="93"/>
  <c r="Z768" i="93"/>
  <c r="AI48" i="75"/>
  <c r="AR48" i="75"/>
  <c r="BF48" i="75"/>
  <c r="BJ48" i="75"/>
  <c r="BN48" i="75"/>
  <c r="M69" i="75" s="1"/>
  <c r="BR48" i="75"/>
  <c r="L68" i="75" s="1"/>
  <c r="CK48" i="75"/>
  <c r="CT48" i="75"/>
  <c r="CX48" i="75"/>
  <c r="EZ48" i="75"/>
  <c r="IF48" i="75"/>
  <c r="IJ48" i="75"/>
  <c r="AV48" i="75"/>
  <c r="J65" i="75" s="1"/>
  <c r="BC48" i="75"/>
  <c r="L64" i="75" s="1"/>
  <c r="DA48" i="75"/>
  <c r="L118" i="75" s="1"/>
  <c r="CR48" i="75"/>
  <c r="M116" i="75" s="1"/>
  <c r="CI48" i="75"/>
  <c r="N114" i="75" s="1"/>
  <c r="CG48" i="75"/>
  <c r="L114" i="75" s="1"/>
  <c r="CE48" i="75"/>
  <c r="J114" i="75" s="1"/>
  <c r="FE48" i="75"/>
  <c r="M95" i="75" s="1"/>
  <c r="FF48" i="75"/>
  <c r="N95" i="75" s="1"/>
  <c r="GH48" i="75"/>
  <c r="L97" i="75" s="1"/>
  <c r="GS48" i="75"/>
  <c r="M87" i="75" s="1"/>
  <c r="HU48" i="75"/>
  <c r="K93" i="75" s="1"/>
  <c r="HB48" i="75"/>
  <c r="L89" i="75" s="1"/>
  <c r="BY48" i="75"/>
  <c r="N61" i="75" s="1"/>
  <c r="BX48" i="75"/>
  <c r="M61" i="75" s="1"/>
  <c r="BW48" i="75"/>
  <c r="L61" i="75" s="1"/>
  <c r="BV48" i="75"/>
  <c r="K61" i="75" s="1"/>
  <c r="BU48" i="75"/>
  <c r="J61" i="75" s="1"/>
  <c r="IC48" i="75"/>
  <c r="N94" i="75" s="1"/>
  <c r="FT48" i="75"/>
  <c r="M102" i="75" s="1"/>
  <c r="IB48" i="75"/>
  <c r="M94" i="75" s="1"/>
  <c r="M111" i="75" s="1"/>
  <c r="K1159" i="93" s="1"/>
  <c r="FS48" i="75"/>
  <c r="L102" i="75" s="1"/>
  <c r="IA48" i="75"/>
  <c r="L94" i="75" s="1"/>
  <c r="FR48" i="75"/>
  <c r="K102" i="75" s="1"/>
  <c r="HZ48" i="75"/>
  <c r="K94" i="75" s="1"/>
  <c r="GV48" i="75"/>
  <c r="K88" i="75" s="1"/>
  <c r="FG48" i="75"/>
  <c r="J96" i="75" s="1"/>
  <c r="HE48" i="75"/>
  <c r="J90" i="75" s="1"/>
  <c r="JO48" i="75"/>
  <c r="BO48" i="75"/>
  <c r="N69" i="75" s="1"/>
  <c r="CL48" i="75"/>
  <c r="EW48" i="75"/>
  <c r="FA48" i="75"/>
  <c r="IG48" i="75"/>
  <c r="IK48" i="75"/>
  <c r="BE48" i="75"/>
  <c r="N64" i="75" s="1"/>
  <c r="N66" i="75" s="1"/>
  <c r="BB48" i="75"/>
  <c r="K64" i="75" s="1"/>
  <c r="K66" i="75" s="1"/>
  <c r="CZ48" i="75"/>
  <c r="K118" i="75" s="1"/>
  <c r="CQ48" i="75"/>
  <c r="L116" i="75" s="1"/>
  <c r="CD48" i="75"/>
  <c r="N113" i="75" s="1"/>
  <c r="CB48" i="75"/>
  <c r="L113" i="75" s="1"/>
  <c r="BZ48" i="75"/>
  <c r="J113" i="75" s="1"/>
  <c r="FL48" i="75"/>
  <c r="J101" i="75" s="1"/>
  <c r="FM48" i="75"/>
  <c r="K101" i="75" s="1"/>
  <c r="FN48" i="75"/>
  <c r="L101" i="75" s="1"/>
  <c r="GG48" i="75"/>
  <c r="K97" i="75" s="1"/>
  <c r="GR48" i="75"/>
  <c r="L87" i="75" s="1"/>
  <c r="HJ48" i="75"/>
  <c r="J91" i="75" s="1"/>
  <c r="J108" i="75" s="1"/>
  <c r="F1149" i="93" s="1"/>
  <c r="H1149" i="93" s="1"/>
  <c r="HK48" i="75"/>
  <c r="K91" i="75" s="1"/>
  <c r="K108" i="75" s="1"/>
  <c r="F1150" i="93" s="1"/>
  <c r="H1150" i="93" s="1"/>
  <c r="HA48" i="75"/>
  <c r="K89" i="75" s="1"/>
  <c r="HX48" i="75"/>
  <c r="N93" i="75" s="1"/>
  <c r="AP48" i="75"/>
  <c r="N59" i="75" s="1"/>
  <c r="AO48" i="75"/>
  <c r="M59" i="75" s="1"/>
  <c r="AN48" i="75"/>
  <c r="L59" i="75" s="1"/>
  <c r="AM48" i="75"/>
  <c r="K59" i="75" s="1"/>
  <c r="AL48" i="75"/>
  <c r="J59" i="75" s="1"/>
  <c r="GE48" i="75"/>
  <c r="N100" i="75" s="1"/>
  <c r="HS48" i="75"/>
  <c r="N92" i="75" s="1"/>
  <c r="N109" i="75" s="1"/>
  <c r="K59" i="73" s="1"/>
  <c r="GD48" i="75"/>
  <c r="M100" i="75" s="1"/>
  <c r="HR48" i="75"/>
  <c r="M92" i="75" s="1"/>
  <c r="M109" i="75" s="1"/>
  <c r="K58" i="73" s="1"/>
  <c r="N58" i="73" s="1"/>
  <c r="GC48" i="75"/>
  <c r="L100" i="75" s="1"/>
  <c r="HQ48" i="75"/>
  <c r="L92" i="75" s="1"/>
  <c r="L109" i="75" s="1"/>
  <c r="K1151" i="93" s="1"/>
  <c r="GB48" i="75"/>
  <c r="K100" i="75" s="1"/>
  <c r="FQ48" i="75"/>
  <c r="J102" i="75" s="1"/>
  <c r="GU48" i="75"/>
  <c r="J88" i="75" s="1"/>
  <c r="AY768" i="93"/>
  <c r="AU768" i="93"/>
  <c r="AQ768" i="93"/>
  <c r="AM768" i="93"/>
  <c r="AI768" i="93"/>
  <c r="AE768" i="93"/>
  <c r="AB768" i="93"/>
  <c r="X768" i="93"/>
  <c r="GU768" i="93"/>
  <c r="JQ48" i="75"/>
  <c r="BB768" i="93"/>
  <c r="AX768" i="93"/>
  <c r="AT768" i="93"/>
  <c r="AP768" i="93"/>
  <c r="AL768" i="93"/>
  <c r="AH768" i="93"/>
  <c r="AD768" i="93"/>
  <c r="AA768" i="93"/>
  <c r="CK767" i="93"/>
  <c r="EL48" i="75"/>
  <c r="N78" i="75" s="1"/>
  <c r="EH48" i="75"/>
  <c r="J78" i="75" s="1"/>
  <c r="IG767" i="93"/>
  <c r="HO767" i="93"/>
  <c r="GA767" i="93"/>
  <c r="HZ767" i="93"/>
  <c r="FR767" i="93"/>
  <c r="GW767" i="93"/>
  <c r="FI767" i="93"/>
  <c r="HH767" i="93"/>
  <c r="GN767" i="93"/>
  <c r="HS767" i="93"/>
  <c r="GE767" i="93"/>
  <c r="W767" i="93"/>
  <c r="AA767" i="93"/>
  <c r="AD767" i="93"/>
  <c r="AH767" i="93"/>
  <c r="AL767" i="93"/>
  <c r="AP767" i="93"/>
  <c r="AT767" i="93"/>
  <c r="AX767" i="93"/>
  <c r="BB767" i="93"/>
  <c r="HE767" i="93"/>
  <c r="GK767" i="93"/>
  <c r="HP767" i="93"/>
  <c r="GB767" i="93"/>
  <c r="IA767" i="93"/>
  <c r="FS767" i="93"/>
  <c r="GX767" i="93"/>
  <c r="FJ767" i="93"/>
  <c r="HI767" i="93"/>
  <c r="GO767" i="93"/>
  <c r="X767" i="93"/>
  <c r="AB767" i="93"/>
  <c r="AE767" i="93"/>
  <c r="AI767" i="93"/>
  <c r="AM767" i="93"/>
  <c r="AQ767" i="93"/>
  <c r="AU767" i="93"/>
  <c r="AY767" i="93"/>
  <c r="GU767" i="93"/>
  <c r="FG767" i="93"/>
  <c r="HF767" i="93"/>
  <c r="GL767" i="93"/>
  <c r="HQ767" i="93"/>
  <c r="GC767" i="93"/>
  <c r="IB767" i="93"/>
  <c r="FT767" i="93"/>
  <c r="GY767" i="93"/>
  <c r="FK767" i="93"/>
  <c r="Y767" i="93"/>
  <c r="AF767" i="93"/>
  <c r="AJ767" i="93"/>
  <c r="AN767" i="93"/>
  <c r="AR767" i="93"/>
  <c r="AV767" i="93"/>
  <c r="AZ767" i="93"/>
  <c r="HY767" i="93"/>
  <c r="GV767" i="93"/>
  <c r="FU767" i="93"/>
  <c r="Z767" i="93"/>
  <c r="AK767" i="93"/>
  <c r="BA767" i="93"/>
  <c r="JO767" i="93"/>
  <c r="IV767" i="93"/>
  <c r="IJ767" i="93"/>
  <c r="IF767" i="93"/>
  <c r="HW767" i="93"/>
  <c r="GD767" i="93"/>
  <c r="IC767" i="93"/>
  <c r="AO767" i="93"/>
  <c r="GM767" i="93"/>
  <c r="HR767" i="93"/>
  <c r="AC767" i="93"/>
  <c r="AS767" i="93"/>
  <c r="CU767" i="93"/>
  <c r="JQ767" i="93"/>
  <c r="JM767" i="93"/>
  <c r="IL767" i="93"/>
  <c r="IH767" i="93"/>
  <c r="ID767" i="93"/>
  <c r="FH767" i="93"/>
  <c r="IM767" i="93"/>
  <c r="IE767" i="93"/>
  <c r="HT767" i="93"/>
  <c r="HK767" i="93"/>
  <c r="HB767" i="93"/>
  <c r="GS767" i="93"/>
  <c r="GJ767" i="93"/>
  <c r="GF767" i="93"/>
  <c r="FW767" i="93"/>
  <c r="FN767" i="93"/>
  <c r="FE767" i="93"/>
  <c r="FA767" i="93"/>
  <c r="EW767" i="93"/>
  <c r="DC767" i="93"/>
  <c r="CY767" i="93"/>
  <c r="CR767" i="93"/>
  <c r="CN767" i="93"/>
  <c r="CJ767" i="93"/>
  <c r="CF767" i="93"/>
  <c r="CB767" i="93"/>
  <c r="BX767" i="93"/>
  <c r="BT767" i="93"/>
  <c r="BL767" i="93"/>
  <c r="BD767" i="93"/>
  <c r="HG767" i="93"/>
  <c r="AG767" i="93"/>
  <c r="JP767" i="93"/>
  <c r="IK767" i="93"/>
  <c r="HX767" i="93"/>
  <c r="HN767" i="93"/>
  <c r="HJ767" i="93"/>
  <c r="HA767" i="93"/>
  <c r="GR767" i="93"/>
  <c r="GI767" i="93"/>
  <c r="FZ767" i="93"/>
  <c r="FV767" i="93"/>
  <c r="FM767" i="93"/>
  <c r="FD767" i="93"/>
  <c r="EZ767" i="93"/>
  <c r="EN767" i="93"/>
  <c r="DB767" i="93"/>
  <c r="CW767" i="93"/>
  <c r="CQ767" i="93"/>
  <c r="CM767" i="93"/>
  <c r="CI767" i="93"/>
  <c r="CE767" i="93"/>
  <c r="CA767" i="93"/>
  <c r="BW767" i="93"/>
  <c r="BQ767" i="93"/>
  <c r="BI767" i="93"/>
  <c r="BR767" i="93"/>
  <c r="BG767" i="93"/>
  <c r="AW767" i="93"/>
  <c r="JN767" i="93"/>
  <c r="II767" i="93"/>
  <c r="HV767" i="93"/>
  <c r="HV805" i="93" s="1"/>
  <c r="L850" i="93" s="1"/>
  <c r="HM767" i="93"/>
  <c r="HD767" i="93"/>
  <c r="GZ767" i="93"/>
  <c r="GQ767" i="93"/>
  <c r="GH767" i="93"/>
  <c r="FY767" i="93"/>
  <c r="FP767" i="93"/>
  <c r="FL767" i="93"/>
  <c r="FL805" i="93" s="1"/>
  <c r="J858" i="93" s="1"/>
  <c r="FC767" i="93"/>
  <c r="EY767" i="93"/>
  <c r="DX767" i="93"/>
  <c r="DA767" i="93"/>
  <c r="CV767" i="93"/>
  <c r="CP767" i="93"/>
  <c r="CL767" i="93"/>
  <c r="CH767" i="93"/>
  <c r="CD767" i="93"/>
  <c r="BZ767" i="93"/>
  <c r="BV767" i="93"/>
  <c r="BP767" i="93"/>
  <c r="BH767" i="93"/>
  <c r="BF767" i="93"/>
  <c r="CT767" i="93"/>
  <c r="BK767" i="93"/>
  <c r="HU767" i="93"/>
  <c r="GP767" i="93"/>
  <c r="FF767" i="93"/>
  <c r="FF805" i="93" s="1"/>
  <c r="N852" i="93" s="1"/>
  <c r="CZ767" i="93"/>
  <c r="CG767" i="93"/>
  <c r="BM767" i="93"/>
  <c r="BC767" i="93"/>
  <c r="HL767" i="93"/>
  <c r="GG767" i="93"/>
  <c r="FB767" i="93"/>
  <c r="CS767" i="93"/>
  <c r="CC767" i="93"/>
  <c r="BE767" i="93"/>
  <c r="BJ767" i="93"/>
  <c r="BO767" i="93"/>
  <c r="FQ767" i="93"/>
  <c r="JL767" i="93"/>
  <c r="HC767" i="93"/>
  <c r="FX767" i="93"/>
  <c r="EX767" i="93"/>
  <c r="CO767" i="93"/>
  <c r="BY767" i="93"/>
  <c r="BN767" i="93"/>
  <c r="BS767" i="93"/>
  <c r="CX767" i="93"/>
  <c r="FO767" i="93"/>
  <c r="BU767" i="93"/>
  <c r="GT767" i="93"/>
  <c r="IP48" i="75"/>
  <c r="IX48" i="75"/>
  <c r="EA48" i="75"/>
  <c r="M76" i="75" s="1"/>
  <c r="A48" i="75"/>
  <c r="A5" i="75" s="1"/>
  <c r="EC48" i="75"/>
  <c r="JK48" i="75"/>
  <c r="DD48" i="75"/>
  <c r="J72" i="75" s="1"/>
  <c r="JD769" i="93"/>
  <c r="JK769" i="93"/>
  <c r="DF769" i="93"/>
  <c r="DJ769" i="93"/>
  <c r="DN769" i="93"/>
  <c r="DR769" i="93"/>
  <c r="DV769" i="93"/>
  <c r="DZ769" i="93"/>
  <c r="ED769" i="93"/>
  <c r="EH769" i="93"/>
  <c r="EL769" i="93"/>
  <c r="EP769" i="93"/>
  <c r="ET769" i="93"/>
  <c r="IP769" i="93"/>
  <c r="IT769" i="93"/>
  <c r="IX769" i="93"/>
  <c r="JB769" i="93"/>
  <c r="JG769" i="93"/>
  <c r="JJ769" i="93"/>
  <c r="DG769" i="93"/>
  <c r="DK769" i="93"/>
  <c r="DO769" i="93"/>
  <c r="DS769" i="93"/>
  <c r="DW769" i="93"/>
  <c r="EA769" i="93"/>
  <c r="EE769" i="93"/>
  <c r="EI769" i="93"/>
  <c r="EM769" i="93"/>
  <c r="EQ769" i="93"/>
  <c r="EU769" i="93"/>
  <c r="IQ769" i="93"/>
  <c r="IU769" i="93"/>
  <c r="IY769" i="93"/>
  <c r="JE769" i="93"/>
  <c r="IO48" i="75"/>
  <c r="IS48" i="75"/>
  <c r="IW48" i="75"/>
  <c r="JA48" i="75"/>
  <c r="JL769" i="93"/>
  <c r="JC769" i="93"/>
  <c r="JF769" i="93"/>
  <c r="DD769" i="93"/>
  <c r="DH769" i="93"/>
  <c r="DL769" i="93"/>
  <c r="DP769" i="93"/>
  <c r="DT769" i="93"/>
  <c r="DX769" i="93"/>
  <c r="EB769" i="93"/>
  <c r="EF769" i="93"/>
  <c r="EJ769" i="93"/>
  <c r="EN769" i="93"/>
  <c r="ER769" i="93"/>
  <c r="EV769" i="93"/>
  <c r="IN769" i="93"/>
  <c r="IR769" i="93"/>
  <c r="IV769" i="93"/>
  <c r="IZ769" i="93"/>
  <c r="IN48" i="75"/>
  <c r="ET48" i="75"/>
  <c r="DP48" i="75"/>
  <c r="EV48" i="75"/>
  <c r="EU48" i="75"/>
  <c r="EO48" i="75"/>
  <c r="L79" i="75" s="1"/>
  <c r="EI48" i="75"/>
  <c r="K78" i="75" s="1"/>
  <c r="EF48" i="75"/>
  <c r="EE48" i="75"/>
  <c r="DH48" i="75"/>
  <c r="N72" i="75" s="1"/>
  <c r="JE48" i="75"/>
  <c r="JH48" i="75"/>
  <c r="JD48" i="75"/>
  <c r="DZ48" i="75"/>
  <c r="L76" i="75" s="1"/>
  <c r="DT48" i="75"/>
  <c r="K75" i="75" s="1"/>
  <c r="DS48" i="75"/>
  <c r="J75" i="75" s="1"/>
  <c r="DK48" i="75"/>
  <c r="L73" i="75" s="1"/>
  <c r="DE48" i="75"/>
  <c r="K72" i="75" s="1"/>
  <c r="JB48" i="75"/>
  <c r="ES48" i="75"/>
  <c r="EM48" i="75"/>
  <c r="J79" i="75" s="1"/>
  <c r="EB48" i="75"/>
  <c r="N76" i="75" s="1"/>
  <c r="DL48" i="75"/>
  <c r="M73" i="75" s="1"/>
  <c r="JD768" i="93"/>
  <c r="JH768" i="93"/>
  <c r="JL768" i="93"/>
  <c r="JL48" i="75"/>
  <c r="JF48" i="75"/>
  <c r="IQ48" i="75"/>
  <c r="IU48" i="75"/>
  <c r="IY48" i="75"/>
  <c r="ED48" i="75"/>
  <c r="DO48" i="75"/>
  <c r="DI48" i="75"/>
  <c r="J73" i="75" s="1"/>
  <c r="DG768" i="93"/>
  <c r="JE768" i="93"/>
  <c r="EK48" i="75"/>
  <c r="M78" i="75" s="1"/>
  <c r="EJ48" i="75"/>
  <c r="L78" i="75" s="1"/>
  <c r="ER48" i="75"/>
  <c r="EG48" i="75"/>
  <c r="DY48" i="75"/>
  <c r="K76" i="75" s="1"/>
  <c r="DX48" i="75"/>
  <c r="J76" i="75" s="1"/>
  <c r="DM48" i="75"/>
  <c r="N73" i="75" s="1"/>
  <c r="DG48" i="75"/>
  <c r="M72" i="75" s="1"/>
  <c r="DF48" i="75"/>
  <c r="L72" i="75" s="1"/>
  <c r="DN48" i="75"/>
  <c r="JJ48" i="75"/>
  <c r="JG48" i="75"/>
  <c r="JC48" i="75"/>
  <c r="IV48" i="75"/>
  <c r="IR48" i="75"/>
  <c r="IZ48" i="75"/>
  <c r="EQ48" i="75"/>
  <c r="N79" i="75" s="1"/>
  <c r="EP48" i="75"/>
  <c r="M79" i="75" s="1"/>
  <c r="EN48" i="75"/>
  <c r="K79" i="75" s="1"/>
  <c r="DW48" i="75"/>
  <c r="N75" i="75" s="1"/>
  <c r="DV48" i="75"/>
  <c r="M75" i="75" s="1"/>
  <c r="DU48" i="75"/>
  <c r="L75" i="75" s="1"/>
  <c r="DR48" i="75"/>
  <c r="DQ48" i="75"/>
  <c r="DJ48" i="75"/>
  <c r="K73" i="75" s="1"/>
  <c r="JJ767" i="93"/>
  <c r="JF767" i="93"/>
  <c r="JB767" i="93"/>
  <c r="IX767" i="93"/>
  <c r="IT767" i="93"/>
  <c r="IP767" i="93"/>
  <c r="ET767" i="93"/>
  <c r="EP767" i="93"/>
  <c r="EL767" i="93"/>
  <c r="EH767" i="93"/>
  <c r="ED767" i="93"/>
  <c r="DZ767" i="93"/>
  <c r="DV767" i="93"/>
  <c r="DR767" i="93"/>
  <c r="DN767" i="93"/>
  <c r="DJ767" i="93"/>
  <c r="DF767" i="93"/>
  <c r="A767" i="93"/>
  <c r="JI767" i="93"/>
  <c r="JE767" i="93"/>
  <c r="JA767" i="93"/>
  <c r="IW767" i="93"/>
  <c r="IS767" i="93"/>
  <c r="IO767" i="93"/>
  <c r="ES767" i="93"/>
  <c r="EO767" i="93"/>
  <c r="EK767" i="93"/>
  <c r="EG767" i="93"/>
  <c r="EC767" i="93"/>
  <c r="DY767" i="93"/>
  <c r="DU767" i="93"/>
  <c r="DQ767" i="93"/>
  <c r="DM767" i="93"/>
  <c r="DI767" i="93"/>
  <c r="DE767" i="93"/>
  <c r="JK767" i="93"/>
  <c r="JG767" i="93"/>
  <c r="JC767" i="93"/>
  <c r="IY767" i="93"/>
  <c r="IU767" i="93"/>
  <c r="IQ767" i="93"/>
  <c r="EU767" i="93"/>
  <c r="EQ767" i="93"/>
  <c r="EM767" i="93"/>
  <c r="EI767" i="93"/>
  <c r="EE767" i="93"/>
  <c r="EA767" i="93"/>
  <c r="DW767" i="93"/>
  <c r="DS767" i="93"/>
  <c r="DO767" i="93"/>
  <c r="DK767" i="93"/>
  <c r="DG767" i="93"/>
  <c r="DL767" i="93"/>
  <c r="EB767" i="93"/>
  <c r="ER767" i="93"/>
  <c r="IZ767" i="93"/>
  <c r="DP767" i="93"/>
  <c r="EF767" i="93"/>
  <c r="EV767" i="93"/>
  <c r="IN767" i="93"/>
  <c r="JD767" i="93"/>
  <c r="DD767" i="93"/>
  <c r="DT767" i="93"/>
  <c r="EJ767" i="93"/>
  <c r="IR767" i="93"/>
  <c r="JH767" i="93"/>
  <c r="I793" i="93"/>
  <c r="K793" i="93" s="1"/>
  <c r="L793" i="93" s="1"/>
  <c r="I796" i="93"/>
  <c r="K796" i="93" s="1"/>
  <c r="L796" i="93" s="1"/>
  <c r="I768" i="93"/>
  <c r="K768" i="93" s="1"/>
  <c r="L768" i="93" s="1"/>
  <c r="I776" i="93"/>
  <c r="K776" i="93" s="1"/>
  <c r="L776" i="93" s="1"/>
  <c r="I785" i="93"/>
  <c r="K785" i="93" s="1"/>
  <c r="L785" i="93" s="1"/>
  <c r="J730" i="93"/>
  <c r="I792" i="93"/>
  <c r="K792" i="93" s="1"/>
  <c r="L792" i="93" s="1"/>
  <c r="I802" i="93"/>
  <c r="K802" i="93" s="1"/>
  <c r="L802" i="93" s="1"/>
  <c r="I780" i="93"/>
  <c r="K780" i="93" s="1"/>
  <c r="L780" i="93" s="1"/>
  <c r="I804" i="93"/>
  <c r="K804" i="93" s="1"/>
  <c r="L804" i="93" s="1"/>
  <c r="I777" i="93"/>
  <c r="K777" i="93" s="1"/>
  <c r="L777" i="93" s="1"/>
  <c r="I797" i="93"/>
  <c r="K797" i="93" s="1"/>
  <c r="L797" i="93" s="1"/>
  <c r="I786" i="93"/>
  <c r="K786" i="93" s="1"/>
  <c r="L786" i="93" s="1"/>
  <c r="I801" i="93"/>
  <c r="K801" i="93" s="1"/>
  <c r="L801" i="93" s="1"/>
  <c r="I788" i="93"/>
  <c r="K788" i="93" s="1"/>
  <c r="L788" i="93" s="1"/>
  <c r="I794" i="93"/>
  <c r="K794" i="93" s="1"/>
  <c r="L794" i="93" s="1"/>
  <c r="K13" i="75"/>
  <c r="L13" i="75" s="1"/>
  <c r="I770" i="93"/>
  <c r="K770" i="93" s="1"/>
  <c r="L770" i="93" s="1"/>
  <c r="I767" i="93"/>
  <c r="K767" i="93" s="1"/>
  <c r="L767" i="93" s="1"/>
  <c r="I782" i="93"/>
  <c r="K782" i="93" s="1"/>
  <c r="L782" i="93" s="1"/>
  <c r="I798" i="93"/>
  <c r="K798" i="93" s="1"/>
  <c r="L798" i="93" s="1"/>
  <c r="I784" i="93"/>
  <c r="K784" i="93" s="1"/>
  <c r="L784" i="93" s="1"/>
  <c r="I789" i="93"/>
  <c r="K789" i="93" s="1"/>
  <c r="L789" i="93" s="1"/>
  <c r="I800" i="93"/>
  <c r="K800" i="93" s="1"/>
  <c r="L800" i="93" s="1"/>
  <c r="I12" i="75"/>
  <c r="I15" i="75"/>
  <c r="I779" i="93"/>
  <c r="K779" i="93" s="1"/>
  <c r="L779" i="93" s="1"/>
  <c r="I783" i="93"/>
  <c r="K783" i="93" s="1"/>
  <c r="L783" i="93" s="1"/>
  <c r="I787" i="93"/>
  <c r="K787" i="93" s="1"/>
  <c r="L787" i="93" s="1"/>
  <c r="I791" i="93"/>
  <c r="K791" i="93" s="1"/>
  <c r="L791" i="93" s="1"/>
  <c r="I795" i="93"/>
  <c r="K795" i="93" s="1"/>
  <c r="L795" i="93" s="1"/>
  <c r="I799" i="93"/>
  <c r="K799" i="93" s="1"/>
  <c r="L799" i="93" s="1"/>
  <c r="I803" i="93"/>
  <c r="K803" i="93" s="1"/>
  <c r="L803" i="93" s="1"/>
  <c r="D45" i="82"/>
  <c r="H16" i="86"/>
  <c r="C16" i="86"/>
  <c r="I16" i="86"/>
  <c r="D56" i="86"/>
  <c r="F56" i="86"/>
  <c r="D16" i="86"/>
  <c r="E56" i="86"/>
  <c r="G56" i="86"/>
  <c r="I36" i="86"/>
  <c r="E16" i="86"/>
  <c r="G36" i="86"/>
  <c r="F36" i="86"/>
  <c r="H56" i="86"/>
  <c r="E36" i="86"/>
  <c r="E1039" i="93"/>
  <c r="E31" i="87"/>
  <c r="D979" i="93"/>
  <c r="K33" i="84"/>
  <c r="K26" i="84"/>
  <c r="K29" i="84"/>
  <c r="I1046" i="93"/>
  <c r="E12" i="87"/>
  <c r="K35" i="84"/>
  <c r="E23" i="87"/>
  <c r="G1009" i="93"/>
  <c r="B1067" i="93"/>
  <c r="E1067" i="93"/>
  <c r="H979" i="93"/>
  <c r="H45" i="82"/>
  <c r="K37" i="84"/>
  <c r="J600" i="93"/>
  <c r="J601" i="93" s="1"/>
  <c r="J603" i="93" s="1"/>
  <c r="J605" i="93" s="1"/>
  <c r="J164" i="78"/>
  <c r="J165" i="78" s="1"/>
  <c r="J167" i="78" s="1"/>
  <c r="K1009" i="93"/>
  <c r="E27" i="87"/>
  <c r="K65" i="82"/>
  <c r="D1067" i="93"/>
  <c r="I53" i="74"/>
  <c r="E53" i="74"/>
  <c r="C53" i="74"/>
  <c r="K23" i="74"/>
  <c r="I23" i="74"/>
  <c r="G23" i="74"/>
  <c r="E23" i="74"/>
  <c r="C23" i="74"/>
  <c r="J53" i="74"/>
  <c r="B23" i="74"/>
  <c r="N400" i="93"/>
  <c r="H53" i="74"/>
  <c r="F84" i="92"/>
  <c r="A2" i="84"/>
  <c r="A2" i="90"/>
  <c r="A47" i="84"/>
  <c r="A1" i="89"/>
  <c r="I61" i="84"/>
  <c r="E61" i="84"/>
  <c r="F945" i="93"/>
  <c r="E59" i="84"/>
  <c r="K59" i="84"/>
  <c r="S562" i="93"/>
  <c r="G562" i="93"/>
  <c r="J557" i="93"/>
  <c r="G58" i="73"/>
  <c r="G55" i="73"/>
  <c r="G1158" i="93"/>
  <c r="G1157" i="93"/>
  <c r="G45" i="73"/>
  <c r="G64" i="73"/>
  <c r="G56" i="73"/>
  <c r="G1139" i="93"/>
  <c r="G1136" i="93"/>
  <c r="G1143" i="93"/>
  <c r="G1149" i="93"/>
  <c r="O1621" i="93"/>
  <c r="G51" i="73"/>
  <c r="G48" i="73"/>
  <c r="G65" i="73"/>
  <c r="G62" i="73"/>
  <c r="G1156" i="93"/>
  <c r="G1159" i="93"/>
  <c r="G1137" i="93"/>
  <c r="G1142" i="93"/>
  <c r="G1146" i="93"/>
  <c r="G1153" i="93"/>
  <c r="G41" i="73"/>
  <c r="G63" i="73"/>
  <c r="G50" i="73"/>
  <c r="G1160" i="93"/>
  <c r="G1144" i="93"/>
  <c r="G1151" i="93"/>
  <c r="G42" i="73"/>
  <c r="G59" i="73"/>
  <c r="G43" i="73"/>
  <c r="P58" i="73"/>
  <c r="G57" i="73"/>
  <c r="G52" i="73"/>
  <c r="G49" i="73"/>
  <c r="G44" i="73"/>
  <c r="G66" i="73"/>
  <c r="G1135" i="93"/>
  <c r="G1152" i="93"/>
  <c r="G1138" i="93"/>
  <c r="G1145" i="93"/>
  <c r="O294" i="72"/>
  <c r="I981" i="93" l="1"/>
  <c r="I989" i="93" s="1"/>
  <c r="I33" i="74"/>
  <c r="E1070" i="93"/>
  <c r="E1077" i="93" s="1"/>
  <c r="E121" i="74"/>
  <c r="I1012" i="93"/>
  <c r="I1020" i="93" s="1"/>
  <c r="I64" i="74"/>
  <c r="J981" i="93"/>
  <c r="J989" i="93" s="1"/>
  <c r="J33" i="74"/>
  <c r="C1041" i="93"/>
  <c r="C1048" i="93" s="1"/>
  <c r="C92" i="74"/>
  <c r="G1041" i="93"/>
  <c r="G1048" i="93" s="1"/>
  <c r="G92" i="74"/>
  <c r="K14" i="75"/>
  <c r="L14" i="75" s="1"/>
  <c r="H1041" i="93"/>
  <c r="H1048" i="93" s="1"/>
  <c r="H92" i="74"/>
  <c r="B1010" i="93"/>
  <c r="B1018" i="93" s="1"/>
  <c r="B62" i="74"/>
  <c r="F978" i="93"/>
  <c r="E992" i="93"/>
  <c r="H1012" i="93"/>
  <c r="H1020" i="93" s="1"/>
  <c r="H64" i="74"/>
  <c r="B1070" i="93"/>
  <c r="B1077" i="93" s="1"/>
  <c r="B121" i="74"/>
  <c r="C1070" i="93"/>
  <c r="C1077" i="93" s="1"/>
  <c r="C121" i="74"/>
  <c r="K1012" i="93"/>
  <c r="K1020" i="93" s="1"/>
  <c r="K64" i="74"/>
  <c r="GT805" i="93"/>
  <c r="N844" i="93" s="1"/>
  <c r="GQ805" i="93"/>
  <c r="K844" i="93" s="1"/>
  <c r="BG805" i="93"/>
  <c r="N58" i="75"/>
  <c r="J45" i="82"/>
  <c r="J63" i="74"/>
  <c r="B32" i="74"/>
  <c r="F1011" i="93"/>
  <c r="F1019" i="93" s="1"/>
  <c r="F63" i="74"/>
  <c r="D980" i="93"/>
  <c r="D988" i="93" s="1"/>
  <c r="D32" i="74"/>
  <c r="K982" i="93"/>
  <c r="K990" i="93" s="1"/>
  <c r="K34" i="74"/>
  <c r="C972" i="93"/>
  <c r="C976" i="93" s="1"/>
  <c r="C992" i="93" s="1"/>
  <c r="C981" i="93"/>
  <c r="C989" i="93" s="1"/>
  <c r="C33" i="74"/>
  <c r="D1011" i="93"/>
  <c r="D1019" i="93" s="1"/>
  <c r="D63" i="74"/>
  <c r="E1042" i="93"/>
  <c r="E1049" i="93" s="1"/>
  <c r="E93" i="74"/>
  <c r="J980" i="93"/>
  <c r="J988" i="93" s="1"/>
  <c r="J32" i="74"/>
  <c r="H969" i="93"/>
  <c r="G977" i="93"/>
  <c r="G970" i="93"/>
  <c r="G975" i="93"/>
  <c r="G971" i="93"/>
  <c r="L80" i="75"/>
  <c r="E982" i="93"/>
  <c r="E990" i="93" s="1"/>
  <c r="E34" i="74"/>
  <c r="B1042" i="93"/>
  <c r="B1049" i="93" s="1"/>
  <c r="B93" i="74"/>
  <c r="C982" i="93"/>
  <c r="C990" i="93" s="1"/>
  <c r="C34" i="74"/>
  <c r="J1010" i="93"/>
  <c r="J1018" i="93" s="1"/>
  <c r="J62" i="74"/>
  <c r="M568" i="93"/>
  <c r="M585" i="93" s="1"/>
  <c r="M587" i="93" s="1"/>
  <c r="M589" i="93" s="1"/>
  <c r="F981" i="93"/>
  <c r="F989" i="93" s="1"/>
  <c r="F33" i="74"/>
  <c r="H1042" i="93"/>
  <c r="H1049" i="93" s="1"/>
  <c r="H93" i="74"/>
  <c r="E1041" i="93"/>
  <c r="E1048" i="93" s="1"/>
  <c r="E92" i="74"/>
  <c r="I982" i="93"/>
  <c r="I990" i="93" s="1"/>
  <c r="I34" i="74"/>
  <c r="G21" i="74"/>
  <c r="H13" i="86" s="1"/>
  <c r="H13" i="74"/>
  <c r="H981" i="93"/>
  <c r="H989" i="93" s="1"/>
  <c r="H33" i="74"/>
  <c r="D1041" i="93"/>
  <c r="D1048" i="93" s="1"/>
  <c r="D92" i="74"/>
  <c r="IW805" i="93"/>
  <c r="CF805" i="93"/>
  <c r="K871" i="93" s="1"/>
  <c r="GY805" i="93"/>
  <c r="N845" i="93" s="1"/>
  <c r="K1041" i="93"/>
  <c r="K1048" i="93" s="1"/>
  <c r="K92" i="74"/>
  <c r="F1041" i="93"/>
  <c r="F1048" i="93" s="1"/>
  <c r="F92" i="74"/>
  <c r="P1621" i="93"/>
  <c r="Q58" i="73"/>
  <c r="HC805" i="93"/>
  <c r="M846" i="93" s="1"/>
  <c r="FB805" i="93"/>
  <c r="J852" i="93" s="1"/>
  <c r="EY805" i="93"/>
  <c r="HD805" i="93"/>
  <c r="N846" i="93" s="1"/>
  <c r="CE805" i="93"/>
  <c r="J871" i="93" s="1"/>
  <c r="CW805" i="93"/>
  <c r="BT805" i="93"/>
  <c r="N825" i="93" s="1"/>
  <c r="FN805" i="93"/>
  <c r="L858" i="93" s="1"/>
  <c r="GS805" i="93"/>
  <c r="M844" i="93" s="1"/>
  <c r="AV805" i="93"/>
  <c r="J822" i="93" s="1"/>
  <c r="AI805" i="93"/>
  <c r="GO805" i="93"/>
  <c r="N855" i="93" s="1"/>
  <c r="AT805" i="93"/>
  <c r="HS805" i="93"/>
  <c r="N849" i="93" s="1"/>
  <c r="N866" i="93" s="1"/>
  <c r="C978" i="93"/>
  <c r="D978" i="93"/>
  <c r="G1011" i="93"/>
  <c r="G1019" i="93" s="1"/>
  <c r="G63" i="74"/>
  <c r="B1011" i="93"/>
  <c r="B1019" i="93" s="1"/>
  <c r="B63" i="74"/>
  <c r="CO805" i="93"/>
  <c r="J873" i="93" s="1"/>
  <c r="HM805" i="93"/>
  <c r="M848" i="93" s="1"/>
  <c r="M865" i="93" s="1"/>
  <c r="Y805" i="93"/>
  <c r="L813" i="93" s="1"/>
  <c r="B981" i="93"/>
  <c r="B989" i="93" s="1"/>
  <c r="B33" i="74"/>
  <c r="E1011" i="93"/>
  <c r="E1019" i="93" s="1"/>
  <c r="E63" i="74"/>
  <c r="E978" i="93"/>
  <c r="E16" i="87"/>
  <c r="J979" i="93"/>
  <c r="E22" i="87"/>
  <c r="F65" i="82"/>
  <c r="F1009" i="93"/>
  <c r="E20" i="87"/>
  <c r="D65" i="82"/>
  <c r="D1009" i="93"/>
  <c r="F45" i="82"/>
  <c r="F979" i="93"/>
  <c r="B65" i="82"/>
  <c r="E18" i="87"/>
  <c r="FC805" i="93"/>
  <c r="K852" i="93" s="1"/>
  <c r="EX805" i="93"/>
  <c r="CC805" i="93"/>
  <c r="M870" i="93" s="1"/>
  <c r="CH805" i="93"/>
  <c r="M871" i="93" s="1"/>
  <c r="HA805" i="93"/>
  <c r="K846" i="93" s="1"/>
  <c r="FX805" i="93"/>
  <c r="L856" i="93" s="1"/>
  <c r="CT805" i="93"/>
  <c r="CY805" i="93"/>
  <c r="J875" i="93" s="1"/>
  <c r="HQ805" i="93"/>
  <c r="L849" i="93" s="1"/>
  <c r="L866" i="93" s="1"/>
  <c r="GX805" i="93"/>
  <c r="M845" i="93" s="1"/>
  <c r="JG805" i="93"/>
  <c r="S568" i="93"/>
  <c r="P568" i="93"/>
  <c r="P585" i="93" s="1"/>
  <c r="P587" i="93" s="1"/>
  <c r="P589" i="93" s="1"/>
  <c r="DH805" i="93"/>
  <c r="N829" i="93" s="1"/>
  <c r="JP805" i="93"/>
  <c r="BO805" i="93"/>
  <c r="N826" i="93" s="1"/>
  <c r="N827" i="93" s="1"/>
  <c r="AM805" i="93"/>
  <c r="K816" i="93" s="1"/>
  <c r="BZ805" i="93"/>
  <c r="J870" i="93" s="1"/>
  <c r="J872" i="93" s="1"/>
  <c r="CJ805" i="93"/>
  <c r="DC805" i="93"/>
  <c r="N875" i="93" s="1"/>
  <c r="AF805" i="93"/>
  <c r="N814" i="93" s="1"/>
  <c r="GL805" i="93"/>
  <c r="K855" i="93" s="1"/>
  <c r="CK805" i="93"/>
  <c r="BU805" i="93"/>
  <c r="J818" i="93" s="1"/>
  <c r="GA805" i="93"/>
  <c r="J857" i="93" s="1"/>
  <c r="DP805" i="93"/>
  <c r="EG805" i="93"/>
  <c r="IO805" i="93"/>
  <c r="I62" i="84"/>
  <c r="BP805" i="93"/>
  <c r="J825" i="93" s="1"/>
  <c r="FV805" i="93"/>
  <c r="J856" i="93" s="1"/>
  <c r="J861" i="93" s="1"/>
  <c r="IJ805" i="93"/>
  <c r="AQ805" i="93"/>
  <c r="GH805" i="93"/>
  <c r="L854" i="93" s="1"/>
  <c r="FP805" i="93"/>
  <c r="N858" i="93" s="1"/>
  <c r="GZ805" i="93"/>
  <c r="J846" i="93" s="1"/>
  <c r="CA805" i="93"/>
  <c r="K870" i="93" s="1"/>
  <c r="K872" i="93" s="1"/>
  <c r="GU805" i="93"/>
  <c r="J845" i="93" s="1"/>
  <c r="JQ805" i="93"/>
  <c r="GG805" i="93"/>
  <c r="K854" i="93" s="1"/>
  <c r="K863" i="93" s="1"/>
  <c r="EW805" i="93"/>
  <c r="FW805" i="93"/>
  <c r="K856" i="93" s="1"/>
  <c r="HB805" i="93"/>
  <c r="L846" i="93" s="1"/>
  <c r="L867" i="93" s="1"/>
  <c r="HL805" i="93"/>
  <c r="L848" i="93" s="1"/>
  <c r="L865" i="93" s="1"/>
  <c r="JM805" i="93"/>
  <c r="FK805" i="93"/>
  <c r="N853" i="93" s="1"/>
  <c r="EZ805" i="93"/>
  <c r="FZ805" i="93"/>
  <c r="N856" i="93" s="1"/>
  <c r="HJ805" i="93"/>
  <c r="J848" i="93" s="1"/>
  <c r="J865" i="93" s="1"/>
  <c r="GE805" i="93"/>
  <c r="N857" i="93" s="1"/>
  <c r="FI805" i="93"/>
  <c r="L853" i="93" s="1"/>
  <c r="CZ805" i="93"/>
  <c r="K875" i="93" s="1"/>
  <c r="JJ805" i="93"/>
  <c r="E58" i="84"/>
  <c r="E62" i="84" s="1"/>
  <c r="K58" i="84"/>
  <c r="K62" i="84" s="1"/>
  <c r="C62" i="84"/>
  <c r="G58" i="84"/>
  <c r="G62" i="84" s="1"/>
  <c r="FE805" i="93"/>
  <c r="M852" i="93" s="1"/>
  <c r="GJ805" i="93"/>
  <c r="N854" i="93" s="1"/>
  <c r="N863" i="93" s="1"/>
  <c r="GD805" i="93"/>
  <c r="M857" i="93" s="1"/>
  <c r="BY805" i="93"/>
  <c r="N818" i="93" s="1"/>
  <c r="CP805" i="93"/>
  <c r="K873" i="93" s="1"/>
  <c r="EL805" i="93"/>
  <c r="N835" i="93" s="1"/>
  <c r="BI805" i="93"/>
  <c r="IH805" i="93"/>
  <c r="CU805" i="93"/>
  <c r="JK805" i="93"/>
  <c r="CD805" i="93"/>
  <c r="N870" i="93" s="1"/>
  <c r="GR805" i="93"/>
  <c r="L844" i="93" s="1"/>
  <c r="IM805" i="93"/>
  <c r="AS805" i="93"/>
  <c r="GN805" i="93"/>
  <c r="M855" i="93" s="1"/>
  <c r="HT805" i="93"/>
  <c r="J850" i="93" s="1"/>
  <c r="JC805" i="93"/>
  <c r="IQ805" i="93"/>
  <c r="ES805" i="93"/>
  <c r="HH805" i="93"/>
  <c r="M847" i="93" s="1"/>
  <c r="HR805" i="93"/>
  <c r="M849" i="93" s="1"/>
  <c r="M866" i="93" s="1"/>
  <c r="HP805" i="93"/>
  <c r="K849" i="93" s="1"/>
  <c r="K866" i="93" s="1"/>
  <c r="HO805" i="93"/>
  <c r="J849" i="93" s="1"/>
  <c r="J866" i="93" s="1"/>
  <c r="DT805" i="93"/>
  <c r="K832" i="93" s="1"/>
  <c r="BK805" i="93"/>
  <c r="J826" i="93" s="1"/>
  <c r="BW805" i="93"/>
  <c r="L818" i="93" s="1"/>
  <c r="BB805" i="93"/>
  <c r="K821" i="93" s="1"/>
  <c r="AL805" i="93"/>
  <c r="J816" i="93" s="1"/>
  <c r="DO805" i="93"/>
  <c r="EE805" i="93"/>
  <c r="DI805" i="93"/>
  <c r="J830" i="93" s="1"/>
  <c r="DY805" i="93"/>
  <c r="K833" i="93" s="1"/>
  <c r="DR805" i="93"/>
  <c r="BR805" i="93"/>
  <c r="L825" i="93" s="1"/>
  <c r="ID805" i="93"/>
  <c r="AJ805" i="93"/>
  <c r="CS805" i="93"/>
  <c r="N873" i="93" s="1"/>
  <c r="EO805" i="93"/>
  <c r="L836" i="93" s="1"/>
  <c r="II805" i="93"/>
  <c r="BL805" i="93"/>
  <c r="K826" i="93" s="1"/>
  <c r="X805" i="93"/>
  <c r="K813" i="93" s="1"/>
  <c r="DQ805" i="93"/>
  <c r="BE805" i="93"/>
  <c r="N821" i="93" s="1"/>
  <c r="DB805" i="93"/>
  <c r="M875" i="93" s="1"/>
  <c r="HG805" i="93"/>
  <c r="L847" i="93" s="1"/>
  <c r="BX805" i="93"/>
  <c r="M818" i="93" s="1"/>
  <c r="AO805" i="93"/>
  <c r="M816" i="93" s="1"/>
  <c r="EJ805" i="93"/>
  <c r="L835" i="93" s="1"/>
  <c r="IN805" i="93"/>
  <c r="EV805" i="93"/>
  <c r="CM805" i="93"/>
  <c r="IK805" i="93"/>
  <c r="CB805" i="93"/>
  <c r="L870" i="93" s="1"/>
  <c r="DV805" i="93"/>
  <c r="M832" i="93" s="1"/>
  <c r="BJ805" i="93"/>
  <c r="BM805" i="93"/>
  <c r="L826" i="93" s="1"/>
  <c r="AY805" i="93"/>
  <c r="M822" i="93" s="1"/>
  <c r="IF805" i="93"/>
  <c r="EA805" i="93"/>
  <c r="M833" i="93" s="1"/>
  <c r="BS805" i="93"/>
  <c r="M825" i="93" s="1"/>
  <c r="CR805" i="93"/>
  <c r="M873" i="93" s="1"/>
  <c r="AN805" i="93"/>
  <c r="L816" i="93" s="1"/>
  <c r="AB805" i="93"/>
  <c r="J814" i="93" s="1"/>
  <c r="FY805" i="93"/>
  <c r="M856" i="93" s="1"/>
  <c r="HW805" i="93"/>
  <c r="M850" i="93" s="1"/>
  <c r="M867" i="93" s="1"/>
  <c r="FO805" i="93"/>
  <c r="M858" i="93" s="1"/>
  <c r="GW805" i="93"/>
  <c r="L845" i="93" s="1"/>
  <c r="FM805" i="93"/>
  <c r="K858" i="93" s="1"/>
  <c r="HX805" i="93"/>
  <c r="N850" i="93" s="1"/>
  <c r="N867" i="93" s="1"/>
  <c r="GV805" i="93"/>
  <c r="K845" i="93" s="1"/>
  <c r="JN805" i="93"/>
  <c r="JO805" i="93"/>
  <c r="FJ805" i="93"/>
  <c r="M853" i="93" s="1"/>
  <c r="EU805" i="93"/>
  <c r="JD805" i="93"/>
  <c r="EI805" i="93"/>
  <c r="K835" i="93" s="1"/>
  <c r="EC805" i="93"/>
  <c r="JA805" i="93"/>
  <c r="CV805" i="93"/>
  <c r="CN805" i="93"/>
  <c r="IL805" i="93"/>
  <c r="AR805" i="93"/>
  <c r="JB805" i="93"/>
  <c r="DA805" i="93"/>
  <c r="L875" i="93" s="1"/>
  <c r="CI805" i="93"/>
  <c r="N871" i="93" s="1"/>
  <c r="HF805" i="93"/>
  <c r="K847" i="93" s="1"/>
  <c r="EQ805" i="93"/>
  <c r="N836" i="93" s="1"/>
  <c r="DD805" i="93"/>
  <c r="J829" i="93" s="1"/>
  <c r="EB805" i="93"/>
  <c r="N833" i="93" s="1"/>
  <c r="EH805" i="93"/>
  <c r="J835" i="93" s="1"/>
  <c r="BC805" i="93"/>
  <c r="L821" i="93" s="1"/>
  <c r="CQ805" i="93"/>
  <c r="L873" i="93" s="1"/>
  <c r="GP805" i="93"/>
  <c r="J844" i="93" s="1"/>
  <c r="GI805" i="93"/>
  <c r="M854" i="93" s="1"/>
  <c r="JE805" i="93"/>
  <c r="HU805" i="93"/>
  <c r="K850" i="93" s="1"/>
  <c r="K867" i="93" s="1"/>
  <c r="HI805" i="93"/>
  <c r="N847" i="93" s="1"/>
  <c r="FD805" i="93"/>
  <c r="L852" i="93" s="1"/>
  <c r="HN805" i="93"/>
  <c r="N848" i="93" s="1"/>
  <c r="N865" i="93" s="1"/>
  <c r="GM805" i="93"/>
  <c r="L855" i="93" s="1"/>
  <c r="JI805" i="93"/>
  <c r="FA805" i="93"/>
  <c r="GF805" i="93"/>
  <c r="J854" i="93" s="1"/>
  <c r="HK805" i="93"/>
  <c r="K848" i="93" s="1"/>
  <c r="K865" i="93" s="1"/>
  <c r="FH805" i="93"/>
  <c r="K853" i="93" s="1"/>
  <c r="GC805" i="93"/>
  <c r="L857" i="93" s="1"/>
  <c r="GB805" i="93"/>
  <c r="K857" i="93" s="1"/>
  <c r="CX805" i="93"/>
  <c r="CG805" i="93"/>
  <c r="L871" i="93" s="1"/>
  <c r="L872" i="93" s="1"/>
  <c r="BQ805" i="93"/>
  <c r="K825" i="93" s="1"/>
  <c r="BA805" i="93"/>
  <c r="J821" i="93" s="1"/>
  <c r="J823" i="93" s="1"/>
  <c r="AK805" i="93"/>
  <c r="DN805" i="93"/>
  <c r="A805" i="93"/>
  <c r="A762" i="93" s="1"/>
  <c r="IP805" i="93"/>
  <c r="BN805" i="93"/>
  <c r="M826" i="93" s="1"/>
  <c r="M827" i="93" s="1"/>
  <c r="BV805" i="93"/>
  <c r="K818" i="93" s="1"/>
  <c r="CL805" i="93"/>
  <c r="Z805" i="93"/>
  <c r="M813" i="93" s="1"/>
  <c r="HE805" i="93"/>
  <c r="J847" i="93" s="1"/>
  <c r="FG805" i="93"/>
  <c r="J853" i="93" s="1"/>
  <c r="IT805" i="93"/>
  <c r="BF805" i="93"/>
  <c r="IE805" i="93"/>
  <c r="AD805" i="93"/>
  <c r="L814" i="93" s="1"/>
  <c r="L815" i="93" s="1"/>
  <c r="BH805" i="93"/>
  <c r="AW805" i="93"/>
  <c r="K822" i="93" s="1"/>
  <c r="K823" i="93" s="1"/>
  <c r="IG805" i="93"/>
  <c r="IY805" i="93"/>
  <c r="DE805" i="93"/>
  <c r="K829" i="93" s="1"/>
  <c r="DU805" i="93"/>
  <c r="L832" i="93" s="1"/>
  <c r="EK805" i="93"/>
  <c r="M835" i="93" s="1"/>
  <c r="IS805" i="93"/>
  <c r="ED805" i="93"/>
  <c r="ET805" i="93"/>
  <c r="BD805" i="93"/>
  <c r="M821" i="93" s="1"/>
  <c r="AC805" i="93"/>
  <c r="K814" i="93" s="1"/>
  <c r="K815" i="93" s="1"/>
  <c r="W805" i="93"/>
  <c r="J813" i="93" s="1"/>
  <c r="D984" i="93"/>
  <c r="D986" i="93" s="1"/>
  <c r="D53" i="82"/>
  <c r="E3" i="86"/>
  <c r="D15" i="86" s="1"/>
  <c r="C997" i="93"/>
  <c r="D41" i="74"/>
  <c r="J568" i="93"/>
  <c r="J585" i="93" s="1"/>
  <c r="J587" i="93" s="1"/>
  <c r="J589" i="93" s="1"/>
  <c r="G568" i="93"/>
  <c r="F34" i="78"/>
  <c r="E471" i="93"/>
  <c r="P45" i="73"/>
  <c r="P1139" i="93" s="1"/>
  <c r="G1776" i="93"/>
  <c r="B480" i="93"/>
  <c r="F483" i="93" s="1"/>
  <c r="E473" i="93"/>
  <c r="I59" i="68"/>
  <c r="P50" i="68" s="1"/>
  <c r="C18" i="84"/>
  <c r="K40" i="84" s="1"/>
  <c r="B4" i="82"/>
  <c r="G222" i="72"/>
  <c r="K9" i="88"/>
  <c r="K23" i="88" s="1"/>
  <c r="K28" i="88" s="1"/>
  <c r="F39" i="88" s="1"/>
  <c r="J1937" i="93"/>
  <c r="J1938" i="93" s="1"/>
  <c r="J1939" i="93" s="1"/>
  <c r="J383" i="72"/>
  <c r="M384" i="72" s="1"/>
  <c r="E38" i="78"/>
  <c r="G34" i="78" s="1"/>
  <c r="F47" i="78"/>
  <c r="H18" i="84"/>
  <c r="L394" i="93"/>
  <c r="L395" i="93" s="1"/>
  <c r="L32" i="68"/>
  <c r="DK805" i="93"/>
  <c r="L830" i="93" s="1"/>
  <c r="DM805" i="93"/>
  <c r="N830" i="93" s="1"/>
  <c r="DF805" i="93"/>
  <c r="L829" i="93" s="1"/>
  <c r="DS805" i="93"/>
  <c r="J832" i="93" s="1"/>
  <c r="K107" i="75"/>
  <c r="K1143" i="93" s="1"/>
  <c r="L66" i="75"/>
  <c r="L70" i="75"/>
  <c r="N60" i="75"/>
  <c r="N62" i="75" s="1"/>
  <c r="H11" i="88" s="1"/>
  <c r="I11" i="88" s="1"/>
  <c r="N106" i="75"/>
  <c r="F1146" i="93" s="1"/>
  <c r="H1146" i="93" s="1"/>
  <c r="K115" i="75"/>
  <c r="K117" i="75" s="1"/>
  <c r="K119" i="75" s="1"/>
  <c r="K111" i="75"/>
  <c r="K63" i="73" s="1"/>
  <c r="M107" i="75"/>
  <c r="K51" i="73" s="1"/>
  <c r="N51" i="73" s="1"/>
  <c r="L107" i="75"/>
  <c r="K1144" i="93" s="1"/>
  <c r="N107" i="75"/>
  <c r="K1146" i="93" s="1"/>
  <c r="J110" i="75"/>
  <c r="F1156" i="93" s="1"/>
  <c r="H1156" i="93" s="1"/>
  <c r="M66" i="75"/>
  <c r="O68" i="75"/>
  <c r="I1150" i="93"/>
  <c r="N115" i="75"/>
  <c r="N117" i="75" s="1"/>
  <c r="N119" i="75" s="1"/>
  <c r="J111" i="75"/>
  <c r="K62" i="73" s="1"/>
  <c r="O96" i="75"/>
  <c r="O88" i="75"/>
  <c r="P186" i="75"/>
  <c r="K1153" i="93"/>
  <c r="M1153" i="93" s="1"/>
  <c r="M104" i="75"/>
  <c r="F1138" i="93" s="1"/>
  <c r="H1138" i="93" s="1"/>
  <c r="L110" i="75"/>
  <c r="F1158" i="93" s="1"/>
  <c r="H1158" i="93" s="1"/>
  <c r="J106" i="75"/>
  <c r="F1142" i="93" s="1"/>
  <c r="O65" i="75"/>
  <c r="I74" i="93" s="1"/>
  <c r="K57" i="73"/>
  <c r="N57" i="73" s="1"/>
  <c r="O100" i="75"/>
  <c r="O64" i="75"/>
  <c r="I75" i="93" s="1"/>
  <c r="O92" i="75"/>
  <c r="K1150" i="93"/>
  <c r="N1150" i="93" s="1"/>
  <c r="F55" i="73"/>
  <c r="H55" i="73" s="1"/>
  <c r="M58" i="73"/>
  <c r="K110" i="75"/>
  <c r="F1157" i="93" s="1"/>
  <c r="I1157" i="93" s="1"/>
  <c r="K70" i="75"/>
  <c r="O99" i="75"/>
  <c r="N70" i="75"/>
  <c r="O97" i="75"/>
  <c r="L104" i="75"/>
  <c r="F1137" i="93" s="1"/>
  <c r="H1137" i="93" s="1"/>
  <c r="M115" i="75"/>
  <c r="M117" i="75" s="1"/>
  <c r="M119" i="75" s="1"/>
  <c r="M70" i="75"/>
  <c r="I1152" i="93"/>
  <c r="I1149" i="93"/>
  <c r="I1154" i="93" s="1"/>
  <c r="M84" i="75"/>
  <c r="O59" i="75"/>
  <c r="H76" i="93" s="1"/>
  <c r="O93" i="75"/>
  <c r="O87" i="75"/>
  <c r="O101" i="75"/>
  <c r="O116" i="75"/>
  <c r="P74" i="93" s="1"/>
  <c r="O61" i="75"/>
  <c r="H78" i="93" s="1"/>
  <c r="M86" i="75"/>
  <c r="O102" i="75"/>
  <c r="O56" i="75"/>
  <c r="H64" i="66" s="1"/>
  <c r="N104" i="75"/>
  <c r="F1139" i="93" s="1"/>
  <c r="H1139" i="93" s="1"/>
  <c r="O98" i="75"/>
  <c r="L105" i="75"/>
  <c r="K1137" i="93" s="1"/>
  <c r="N1137" i="93" s="1"/>
  <c r="O57" i="75"/>
  <c r="H74" i="93" s="1"/>
  <c r="M110" i="75"/>
  <c r="F1159" i="93" s="1"/>
  <c r="H1159" i="93" s="1"/>
  <c r="K106" i="75"/>
  <c r="F49" i="73" s="1"/>
  <c r="H49" i="73" s="1"/>
  <c r="K104" i="75"/>
  <c r="F42" i="73" s="1"/>
  <c r="I42" i="73" s="1"/>
  <c r="J70" i="75"/>
  <c r="GK805" i="93"/>
  <c r="J855" i="93" s="1"/>
  <c r="K1152" i="93"/>
  <c r="M1152" i="93" s="1"/>
  <c r="F58" i="73"/>
  <c r="H58" i="73" s="1"/>
  <c r="O186" i="75"/>
  <c r="O89" i="75"/>
  <c r="J66" i="75"/>
  <c r="N1159" i="93"/>
  <c r="M1159" i="93"/>
  <c r="EF805" i="93"/>
  <c r="JF805" i="93"/>
  <c r="K86" i="75"/>
  <c r="O69" i="75"/>
  <c r="F56" i="73"/>
  <c r="H56" i="73" s="1"/>
  <c r="O113" i="75"/>
  <c r="L115" i="75"/>
  <c r="L117" i="75" s="1"/>
  <c r="L119" i="75" s="1"/>
  <c r="K105" i="75"/>
  <c r="K1136" i="93" s="1"/>
  <c r="N1136" i="93" s="1"/>
  <c r="IZ805" i="93"/>
  <c r="N110" i="75"/>
  <c r="F1160" i="93" s="1"/>
  <c r="H1160" i="93" s="1"/>
  <c r="O114" i="75"/>
  <c r="O118" i="75"/>
  <c r="P76" i="93" s="1"/>
  <c r="O94" i="75"/>
  <c r="J104" i="75"/>
  <c r="F41" i="73" s="1"/>
  <c r="H41" i="73" s="1"/>
  <c r="N105" i="75"/>
  <c r="K45" i="73" s="1"/>
  <c r="N45" i="73" s="1"/>
  <c r="L111" i="75"/>
  <c r="K1158" i="93" s="1"/>
  <c r="M1158" i="93" s="1"/>
  <c r="N86" i="75"/>
  <c r="K84" i="75"/>
  <c r="M106" i="75"/>
  <c r="F51" i="73" s="1"/>
  <c r="H51" i="73" s="1"/>
  <c r="M105" i="75"/>
  <c r="K44" i="73" s="1"/>
  <c r="J107" i="75"/>
  <c r="K1142" i="93" s="1"/>
  <c r="N1142" i="93" s="1"/>
  <c r="N1147" i="93" s="1"/>
  <c r="N111" i="75"/>
  <c r="J84" i="75"/>
  <c r="K65" i="73"/>
  <c r="N65" i="73" s="1"/>
  <c r="J105" i="75"/>
  <c r="N84" i="75"/>
  <c r="L84" i="75"/>
  <c r="FQ805" i="93"/>
  <c r="J859" i="93" s="1"/>
  <c r="IC805" i="93"/>
  <c r="N851" i="93" s="1"/>
  <c r="HY805" i="93"/>
  <c r="J851" i="93" s="1"/>
  <c r="HZ805" i="93"/>
  <c r="K851" i="93" s="1"/>
  <c r="L106" i="75"/>
  <c r="F1144" i="93" s="1"/>
  <c r="H1144" i="93" s="1"/>
  <c r="AG805" i="93"/>
  <c r="FU805" i="93"/>
  <c r="N859" i="93" s="1"/>
  <c r="FT805" i="93"/>
  <c r="M859" i="93" s="1"/>
  <c r="FS805" i="93"/>
  <c r="L859" i="93" s="1"/>
  <c r="F1151" i="93"/>
  <c r="H1151" i="93" s="1"/>
  <c r="O95" i="75"/>
  <c r="M58" i="75"/>
  <c r="D10" i="88" s="1"/>
  <c r="E10" i="88" s="1"/>
  <c r="J60" i="75"/>
  <c r="J62" i="75" s="1"/>
  <c r="IB805" i="93"/>
  <c r="M851" i="93" s="1"/>
  <c r="AU805" i="93"/>
  <c r="AE805" i="93"/>
  <c r="M814" i="93" s="1"/>
  <c r="IA805" i="93"/>
  <c r="L851" i="93" s="1"/>
  <c r="AP805" i="93"/>
  <c r="N816" i="93" s="1"/>
  <c r="AA805" i="93"/>
  <c r="N813" i="93" s="1"/>
  <c r="FR805" i="93"/>
  <c r="K859" i="93" s="1"/>
  <c r="L86" i="75"/>
  <c r="J86" i="75"/>
  <c r="J115" i="75"/>
  <c r="O91" i="75"/>
  <c r="AZ805" i="93"/>
  <c r="N822" i="93" s="1"/>
  <c r="AX805" i="93"/>
  <c r="L822" i="93" s="1"/>
  <c r="AH805" i="93"/>
  <c r="O90" i="75"/>
  <c r="JH805" i="93"/>
  <c r="EN805" i="93"/>
  <c r="K836" i="93" s="1"/>
  <c r="JL805" i="93"/>
  <c r="D11" i="88"/>
  <c r="E11" i="88" s="1"/>
  <c r="IV805" i="93"/>
  <c r="DX805" i="93"/>
  <c r="J833" i="93" s="1"/>
  <c r="I57" i="73"/>
  <c r="N56" i="73"/>
  <c r="M56" i="73"/>
  <c r="O79" i="75"/>
  <c r="N864" i="93"/>
  <c r="K1149" i="93"/>
  <c r="K55" i="73"/>
  <c r="O109" i="75"/>
  <c r="K60" i="75"/>
  <c r="K62" i="75" s="1"/>
  <c r="H8" i="88" s="1"/>
  <c r="I8" i="88" s="1"/>
  <c r="L1954" i="93"/>
  <c r="D8" i="88"/>
  <c r="L400" i="72"/>
  <c r="N59" i="73"/>
  <c r="M59" i="73"/>
  <c r="M1151" i="93"/>
  <c r="N1151" i="93"/>
  <c r="F1153" i="93"/>
  <c r="I1153" i="93" s="1"/>
  <c r="F59" i="73"/>
  <c r="O108" i="75"/>
  <c r="L60" i="75"/>
  <c r="L62" i="75" s="1"/>
  <c r="H9" i="88" s="1"/>
  <c r="I9" i="88" s="1"/>
  <c r="D9" i="88"/>
  <c r="E9" i="88" s="1"/>
  <c r="J80" i="75"/>
  <c r="O72" i="75"/>
  <c r="J74" i="75"/>
  <c r="N77" i="75"/>
  <c r="DG805" i="93"/>
  <c r="M829" i="93" s="1"/>
  <c r="DW805" i="93"/>
  <c r="N832" i="93" s="1"/>
  <c r="EM805" i="93"/>
  <c r="J836" i="93" s="1"/>
  <c r="IU805" i="93"/>
  <c r="DJ805" i="93"/>
  <c r="K830" i="93" s="1"/>
  <c r="DZ805" i="93"/>
  <c r="L833" i="93" s="1"/>
  <c r="EP805" i="93"/>
  <c r="M836" i="93" s="1"/>
  <c r="IX805" i="93"/>
  <c r="DL805" i="93"/>
  <c r="M830" i="93" s="1"/>
  <c r="IR805" i="93"/>
  <c r="ER805" i="93"/>
  <c r="J77" i="75"/>
  <c r="P185" i="75"/>
  <c r="N80" i="75"/>
  <c r="M77" i="75"/>
  <c r="N74" i="75"/>
  <c r="P184" i="75"/>
  <c r="O76" i="75"/>
  <c r="O78" i="75"/>
  <c r="L77" i="75"/>
  <c r="K80" i="75"/>
  <c r="O185" i="75"/>
  <c r="M74" i="75"/>
  <c r="L74" i="75"/>
  <c r="K74" i="75"/>
  <c r="O75" i="75"/>
  <c r="M80" i="75"/>
  <c r="O73" i="75"/>
  <c r="O184" i="75"/>
  <c r="K77" i="75"/>
  <c r="K10" i="75"/>
  <c r="L10" i="75" s="1"/>
  <c r="K15" i="75"/>
  <c r="L15" i="75" s="1"/>
  <c r="I772" i="93"/>
  <c r="K772" i="93" s="1"/>
  <c r="L772" i="93" s="1"/>
  <c r="K12" i="75"/>
  <c r="L12" i="75" s="1"/>
  <c r="I769" i="93"/>
  <c r="K769" i="93" s="1"/>
  <c r="L769" i="93" s="1"/>
  <c r="B1039" i="93"/>
  <c r="E28" i="87"/>
  <c r="K979" i="93"/>
  <c r="E17" i="87"/>
  <c r="K45" i="82"/>
  <c r="D1078" i="93"/>
  <c r="D1074" i="93"/>
  <c r="E26" i="87"/>
  <c r="J1009" i="93"/>
  <c r="J65" i="82"/>
  <c r="F1067" i="93"/>
  <c r="B1074" i="93"/>
  <c r="B1078" i="93"/>
  <c r="B37" i="74"/>
  <c r="B979" i="93"/>
  <c r="C75" i="84"/>
  <c r="B45" i="82"/>
  <c r="E8" i="87"/>
  <c r="B15" i="82"/>
  <c r="J169" i="78"/>
  <c r="H1009" i="93"/>
  <c r="E24" i="87"/>
  <c r="H65" i="82"/>
  <c r="H1039" i="93"/>
  <c r="E45" i="82"/>
  <c r="E979" i="93"/>
  <c r="E11" i="87"/>
  <c r="C1009" i="93"/>
  <c r="E19" i="87"/>
  <c r="C65" i="82"/>
  <c r="K1039" i="93"/>
  <c r="D991" i="93"/>
  <c r="D987" i="93"/>
  <c r="E32" i="87"/>
  <c r="F1039" i="93"/>
  <c r="I979" i="93"/>
  <c r="I45" i="82"/>
  <c r="E15" i="87"/>
  <c r="C1039" i="93"/>
  <c r="E29" i="87"/>
  <c r="C979" i="93"/>
  <c r="C45" i="82"/>
  <c r="E9" i="87"/>
  <c r="C1067" i="93"/>
  <c r="I1009" i="93"/>
  <c r="E25" i="87"/>
  <c r="I65" i="82"/>
  <c r="J1039" i="93"/>
  <c r="D1039" i="93"/>
  <c r="E30" i="87"/>
  <c r="E13" i="87"/>
  <c r="G45" i="82"/>
  <c r="G979" i="93"/>
  <c r="E1009" i="93"/>
  <c r="E21" i="87"/>
  <c r="E65" i="82"/>
  <c r="G1039" i="93"/>
  <c r="E1078" i="93"/>
  <c r="E1074" i="93"/>
  <c r="E1050" i="93"/>
  <c r="E1046" i="93"/>
  <c r="I423" i="93"/>
  <c r="P413" i="93"/>
  <c r="P414" i="93"/>
  <c r="E37" i="72"/>
  <c r="E1591" i="93" s="1"/>
  <c r="O1848" i="93"/>
  <c r="M864" i="93" l="1"/>
  <c r="G972" i="93"/>
  <c r="G976" i="93"/>
  <c r="G992" i="93" s="1"/>
  <c r="H970" i="93"/>
  <c r="H975" i="93"/>
  <c r="H971" i="93"/>
  <c r="I969" i="93"/>
  <c r="H977" i="93"/>
  <c r="H21" i="74"/>
  <c r="I13" i="86" s="1"/>
  <c r="I13" i="74"/>
  <c r="F987" i="93"/>
  <c r="F991" i="93"/>
  <c r="M872" i="93"/>
  <c r="M874" i="93"/>
  <c r="K817" i="93"/>
  <c r="K819" i="93" s="1"/>
  <c r="K864" i="93"/>
  <c r="L827" i="93"/>
  <c r="N861" i="93"/>
  <c r="O875" i="93"/>
  <c r="J867" i="93"/>
  <c r="O867" i="93" s="1"/>
  <c r="K874" i="93"/>
  <c r="K876" i="93" s="1"/>
  <c r="J827" i="93"/>
  <c r="K861" i="93"/>
  <c r="O856" i="93"/>
  <c r="L863" i="93"/>
  <c r="J864" i="93"/>
  <c r="N862" i="93"/>
  <c r="O853" i="93"/>
  <c r="O846" i="93"/>
  <c r="O852" i="93"/>
  <c r="L868" i="93"/>
  <c r="N837" i="93"/>
  <c r="O870" i="93"/>
  <c r="L817" i="93"/>
  <c r="L819" i="93" s="1"/>
  <c r="O941" i="93"/>
  <c r="D55" i="86"/>
  <c r="E474" i="93"/>
  <c r="G470" i="93" s="1"/>
  <c r="C35" i="86"/>
  <c r="H35" i="86"/>
  <c r="E35" i="86"/>
  <c r="F55" i="86"/>
  <c r="I35" i="86"/>
  <c r="O16" i="86"/>
  <c r="G35" i="86"/>
  <c r="H55" i="86"/>
  <c r="D35" i="86"/>
  <c r="I15" i="86"/>
  <c r="G55" i="86"/>
  <c r="E15" i="86"/>
  <c r="O17" i="86"/>
  <c r="H15" i="86"/>
  <c r="F35" i="86"/>
  <c r="C15" i="86"/>
  <c r="G15" i="86"/>
  <c r="F15" i="86"/>
  <c r="C55" i="86"/>
  <c r="E55" i="86"/>
  <c r="N872" i="93"/>
  <c r="N874" i="93" s="1"/>
  <c r="N876" i="93" s="1"/>
  <c r="M868" i="93"/>
  <c r="K834" i="93"/>
  <c r="O818" i="93"/>
  <c r="O844" i="93"/>
  <c r="O943" i="93"/>
  <c r="O866" i="93"/>
  <c r="N831" i="93"/>
  <c r="O849" i="93"/>
  <c r="K49" i="73"/>
  <c r="M49" i="73" s="1"/>
  <c r="K50" i="73"/>
  <c r="M50" i="73" s="1"/>
  <c r="L864" i="93"/>
  <c r="P943" i="93"/>
  <c r="O845" i="93"/>
  <c r="L862" i="93"/>
  <c r="F65" i="73"/>
  <c r="H65" i="73" s="1"/>
  <c r="O816" i="93"/>
  <c r="J815" i="93"/>
  <c r="J817" i="93" s="1"/>
  <c r="N823" i="93"/>
  <c r="L837" i="93"/>
  <c r="K827" i="93"/>
  <c r="M876" i="93"/>
  <c r="M862" i="93"/>
  <c r="M823" i="93"/>
  <c r="O873" i="93"/>
  <c r="O871" i="93"/>
  <c r="M861" i="93"/>
  <c r="M837" i="93"/>
  <c r="O858" i="93"/>
  <c r="K52" i="73"/>
  <c r="N52" i="73" s="1"/>
  <c r="K837" i="93"/>
  <c r="M834" i="93"/>
  <c r="O826" i="93"/>
  <c r="J831" i="93"/>
  <c r="L874" i="93"/>
  <c r="L876" i="93" s="1"/>
  <c r="O857" i="93"/>
  <c r="O854" i="93"/>
  <c r="L861" i="93"/>
  <c r="O825" i="93"/>
  <c r="K831" i="93"/>
  <c r="J863" i="93"/>
  <c r="M863" i="93"/>
  <c r="J834" i="93"/>
  <c r="O835" i="93"/>
  <c r="J843" i="93"/>
  <c r="O847" i="93"/>
  <c r="N834" i="93"/>
  <c r="J862" i="93"/>
  <c r="O850" i="93"/>
  <c r="F1143" i="93"/>
  <c r="H1143" i="93" s="1"/>
  <c r="O848" i="93"/>
  <c r="O865" i="93"/>
  <c r="F43" i="73"/>
  <c r="H43" i="73" s="1"/>
  <c r="N1152" i="93"/>
  <c r="K843" i="93"/>
  <c r="L834" i="93"/>
  <c r="O813" i="93"/>
  <c r="O821" i="93"/>
  <c r="L831" i="93"/>
  <c r="F52" i="73"/>
  <c r="H52" i="73" s="1"/>
  <c r="M1150" i="93"/>
  <c r="O814" i="93"/>
  <c r="H63" i="66"/>
  <c r="H62" i="66" s="1"/>
  <c r="E984" i="93"/>
  <c r="E986" i="93" s="1"/>
  <c r="E53" i="82"/>
  <c r="M1938" i="93"/>
  <c r="M1939" i="93" s="1"/>
  <c r="E41" i="74"/>
  <c r="D997" i="93"/>
  <c r="P51" i="68"/>
  <c r="P52" i="68" s="1"/>
  <c r="J384" i="72"/>
  <c r="J385" i="72" s="1"/>
  <c r="I60" i="68"/>
  <c r="C38" i="84"/>
  <c r="D18" i="84"/>
  <c r="J18" i="84"/>
  <c r="C40" i="84"/>
  <c r="K1157" i="93"/>
  <c r="N1157" i="93" s="1"/>
  <c r="K868" i="93"/>
  <c r="H75" i="93"/>
  <c r="H73" i="93" s="1"/>
  <c r="H77" i="93" s="1"/>
  <c r="H79" i="93" s="1"/>
  <c r="F63" i="73"/>
  <c r="I63" i="73" s="1"/>
  <c r="M1136" i="93"/>
  <c r="I73" i="93"/>
  <c r="P65" i="66"/>
  <c r="N1153" i="93"/>
  <c r="M51" i="73"/>
  <c r="K1156" i="93"/>
  <c r="N1156" i="93" s="1"/>
  <c r="N1161" i="93" s="1"/>
  <c r="O66" i="75"/>
  <c r="O107" i="75"/>
  <c r="M60" i="75"/>
  <c r="M62" i="75" s="1"/>
  <c r="H10" i="88" s="1"/>
  <c r="I10" i="88" s="1"/>
  <c r="I63" i="66"/>
  <c r="F64" i="73"/>
  <c r="H64" i="73" s="1"/>
  <c r="F62" i="73"/>
  <c r="H62" i="73" s="1"/>
  <c r="K1145" i="93"/>
  <c r="N1145" i="93" s="1"/>
  <c r="F50" i="73"/>
  <c r="H50" i="73" s="1"/>
  <c r="F1136" i="93"/>
  <c r="H1136" i="93" s="1"/>
  <c r="K43" i="73"/>
  <c r="N43" i="73" s="1"/>
  <c r="O70" i="75"/>
  <c r="N815" i="93"/>
  <c r="N817" i="93" s="1"/>
  <c r="N819" i="93" s="1"/>
  <c r="I64" i="66"/>
  <c r="O855" i="93"/>
  <c r="I1156" i="93"/>
  <c r="I1161" i="93" s="1"/>
  <c r="F48" i="73"/>
  <c r="I48" i="73" s="1"/>
  <c r="I56" i="73"/>
  <c r="P942" i="93"/>
  <c r="M57" i="73"/>
  <c r="M843" i="93"/>
  <c r="F44" i="73"/>
  <c r="H44" i="73" s="1"/>
  <c r="I58" i="73"/>
  <c r="F1135" i="93"/>
  <c r="H1135" i="93" s="1"/>
  <c r="H1836" i="93"/>
  <c r="O84" i="75"/>
  <c r="O188" i="75" s="1"/>
  <c r="P180" i="75" s="1"/>
  <c r="O106" i="75"/>
  <c r="F45" i="73"/>
  <c r="H45" i="73" s="1"/>
  <c r="M1137" i="93"/>
  <c r="F1145" i="93"/>
  <c r="H1145" i="93" s="1"/>
  <c r="K1139" i="93"/>
  <c r="H67" i="66"/>
  <c r="F56" i="89"/>
  <c r="D37" i="90" s="1"/>
  <c r="I55" i="73"/>
  <c r="K42" i="73"/>
  <c r="L841" i="93"/>
  <c r="H65" i="66"/>
  <c r="N841" i="93"/>
  <c r="O86" i="75"/>
  <c r="E100" i="78" s="1"/>
  <c r="J100" i="78" s="1"/>
  <c r="O832" i="93"/>
  <c r="L843" i="93"/>
  <c r="H282" i="72"/>
  <c r="P63" i="66"/>
  <c r="O115" i="75"/>
  <c r="P73" i="93" s="1"/>
  <c r="P75" i="93" s="1"/>
  <c r="P77" i="93" s="1"/>
  <c r="P82" i="93" s="1"/>
  <c r="O111" i="75"/>
  <c r="J868" i="93"/>
  <c r="O104" i="75"/>
  <c r="O851" i="93"/>
  <c r="N868" i="93"/>
  <c r="F66" i="73"/>
  <c r="H66" i="73" s="1"/>
  <c r="M841" i="93"/>
  <c r="M1142" i="93"/>
  <c r="K48" i="73"/>
  <c r="O105" i="75"/>
  <c r="N843" i="93"/>
  <c r="I1158" i="93"/>
  <c r="O110" i="75"/>
  <c r="M45" i="73"/>
  <c r="O859" i="93"/>
  <c r="P941" i="93"/>
  <c r="O58" i="75"/>
  <c r="E13" i="84" s="1"/>
  <c r="O822" i="93"/>
  <c r="J117" i="75"/>
  <c r="O117" i="75" s="1"/>
  <c r="I1144" i="93"/>
  <c r="K1138" i="93"/>
  <c r="M1138" i="93" s="1"/>
  <c r="K862" i="93"/>
  <c r="I1151" i="93"/>
  <c r="K64" i="73"/>
  <c r="O942" i="93"/>
  <c r="J841" i="93"/>
  <c r="M65" i="73"/>
  <c r="K66" i="73"/>
  <c r="K1160" i="93"/>
  <c r="K1135" i="93"/>
  <c r="K41" i="73"/>
  <c r="K841" i="93"/>
  <c r="N1158" i="93"/>
  <c r="M815" i="93"/>
  <c r="M817" i="93" s="1"/>
  <c r="M819" i="93" s="1"/>
  <c r="L823" i="93"/>
  <c r="O833" i="93"/>
  <c r="I1146" i="93"/>
  <c r="J837" i="93"/>
  <c r="I41" i="73"/>
  <c r="I51" i="73"/>
  <c r="I49" i="73"/>
  <c r="N62" i="73"/>
  <c r="M62" i="73"/>
  <c r="I1138" i="93"/>
  <c r="N1143" i="93"/>
  <c r="M1143" i="93"/>
  <c r="I1139" i="93"/>
  <c r="I1160" i="93"/>
  <c r="I1137" i="93"/>
  <c r="O80" i="75"/>
  <c r="H56" i="66" s="1"/>
  <c r="N44" i="73"/>
  <c r="M44" i="73"/>
  <c r="N63" i="73"/>
  <c r="M63" i="73"/>
  <c r="H1153" i="93"/>
  <c r="F1154" i="93"/>
  <c r="H42" i="73"/>
  <c r="M1149" i="93"/>
  <c r="N1149" i="93"/>
  <c r="N1154" i="93" s="1"/>
  <c r="K1154" i="93"/>
  <c r="N1146" i="93"/>
  <c r="M1146" i="93"/>
  <c r="N1144" i="93"/>
  <c r="M1144" i="93"/>
  <c r="H1142" i="93"/>
  <c r="F60" i="73"/>
  <c r="H59" i="73"/>
  <c r="H7" i="88"/>
  <c r="E8" i="88"/>
  <c r="E13" i="88" s="1"/>
  <c r="D12" i="88"/>
  <c r="H1157" i="93"/>
  <c r="F1161" i="93"/>
  <c r="I1142" i="93"/>
  <c r="I1147" i="93" s="1"/>
  <c r="N55" i="73"/>
  <c r="N60" i="73" s="1"/>
  <c r="M55" i="73"/>
  <c r="K60" i="73"/>
  <c r="I59" i="73"/>
  <c r="J874" i="93"/>
  <c r="I1159" i="93"/>
  <c r="M831" i="93"/>
  <c r="O77" i="75"/>
  <c r="H68" i="93" s="1"/>
  <c r="O829" i="93"/>
  <c r="O836" i="93"/>
  <c r="O830" i="93"/>
  <c r="O74" i="75"/>
  <c r="H66" i="93" s="1"/>
  <c r="L48" i="75"/>
  <c r="L49" i="75" s="1"/>
  <c r="H122" i="75" s="1"/>
  <c r="L805" i="93"/>
  <c r="L806" i="93" s="1"/>
  <c r="C986" i="93"/>
  <c r="C991" i="93"/>
  <c r="C987" i="93"/>
  <c r="B993" i="93"/>
  <c r="C10" i="86"/>
  <c r="G1050" i="93"/>
  <c r="G1046" i="93"/>
  <c r="J1050" i="93"/>
  <c r="J1046" i="93"/>
  <c r="C1074" i="93"/>
  <c r="C1078" i="93"/>
  <c r="C37" i="74"/>
  <c r="D10" i="86" s="1"/>
  <c r="F1050" i="93"/>
  <c r="F1046" i="93"/>
  <c r="E987" i="93"/>
  <c r="E991" i="93"/>
  <c r="C1050" i="93"/>
  <c r="C1046" i="93"/>
  <c r="K1046" i="93"/>
  <c r="K1050" i="93"/>
  <c r="E75" i="84"/>
  <c r="C77" i="84"/>
  <c r="K75" i="84"/>
  <c r="G75" i="84"/>
  <c r="I75" i="84"/>
  <c r="F1078" i="93"/>
  <c r="F1074" i="93"/>
  <c r="D1050" i="93"/>
  <c r="D1046" i="93"/>
  <c r="H1050" i="93"/>
  <c r="H1046" i="93"/>
  <c r="B1046" i="93"/>
  <c r="B1050" i="93"/>
  <c r="P415" i="93"/>
  <c r="H978" i="93" l="1"/>
  <c r="H991" i="93" s="1"/>
  <c r="I62" i="73"/>
  <c r="J969" i="93"/>
  <c r="I975" i="93"/>
  <c r="I977" i="93"/>
  <c r="I971" i="93"/>
  <c r="I970" i="93"/>
  <c r="I972" i="93" s="1"/>
  <c r="I976" i="93" s="1"/>
  <c r="I992" i="93" s="1"/>
  <c r="H972" i="93"/>
  <c r="H976" i="93" s="1"/>
  <c r="H992" i="93" s="1"/>
  <c r="G978" i="93"/>
  <c r="H987" i="93"/>
  <c r="J13" i="74"/>
  <c r="I21" i="74"/>
  <c r="C33" i="86" s="1"/>
  <c r="O864" i="93"/>
  <c r="N50" i="73"/>
  <c r="O827" i="93"/>
  <c r="N49" i="73"/>
  <c r="O862" i="93"/>
  <c r="O872" i="93"/>
  <c r="O19" i="86"/>
  <c r="O23" i="86" s="1"/>
  <c r="O25" i="86" s="1"/>
  <c r="O31" i="86" s="1"/>
  <c r="I52" i="73"/>
  <c r="I65" i="73"/>
  <c r="O861" i="93"/>
  <c r="O823" i="93"/>
  <c r="M52" i="73"/>
  <c r="I1143" i="93"/>
  <c r="K53" i="73"/>
  <c r="O837" i="93"/>
  <c r="O863" i="93"/>
  <c r="O843" i="93"/>
  <c r="O834" i="93"/>
  <c r="M1157" i="93"/>
  <c r="I43" i="73"/>
  <c r="O831" i="93"/>
  <c r="K46" i="73"/>
  <c r="F984" i="93"/>
  <c r="F986" i="93" s="1"/>
  <c r="F53" i="82"/>
  <c r="F41" i="74"/>
  <c r="E997" i="93"/>
  <c r="M43" i="73"/>
  <c r="H63" i="73"/>
  <c r="O62" i="75"/>
  <c r="M301" i="73" s="1"/>
  <c r="O60" i="75"/>
  <c r="J590" i="93" s="1"/>
  <c r="J591" i="93" s="1"/>
  <c r="J593" i="93" s="1"/>
  <c r="H48" i="73"/>
  <c r="P62" i="66"/>
  <c r="P64" i="66" s="1"/>
  <c r="P66" i="66" s="1"/>
  <c r="P71" i="66" s="1"/>
  <c r="M1156" i="93"/>
  <c r="K1161" i="93"/>
  <c r="I62" i="66"/>
  <c r="K67" i="73"/>
  <c r="I1136" i="93"/>
  <c r="I64" i="73"/>
  <c r="F1147" i="93"/>
  <c r="I60" i="73"/>
  <c r="L1952" i="93"/>
  <c r="L1953" i="93" s="1"/>
  <c r="M1952" i="93" s="1"/>
  <c r="F53" i="73"/>
  <c r="N1138" i="93"/>
  <c r="F67" i="73"/>
  <c r="M1145" i="93"/>
  <c r="H66" i="66"/>
  <c r="H68" i="66" s="1"/>
  <c r="I50" i="73"/>
  <c r="I53" i="73" s="1"/>
  <c r="L398" i="72"/>
  <c r="L399" i="72" s="1"/>
  <c r="M398" i="72" s="1"/>
  <c r="O397" i="72" s="1"/>
  <c r="O1951" i="93" s="1"/>
  <c r="K1147" i="93"/>
  <c r="I66" i="73"/>
  <c r="I1135" i="93"/>
  <c r="I1140" i="93" s="1"/>
  <c r="I45" i="73"/>
  <c r="F1140" i="93"/>
  <c r="O841" i="93"/>
  <c r="P944" i="93" s="1"/>
  <c r="P945" i="93" s="1"/>
  <c r="M937" i="93" s="1"/>
  <c r="O815" i="93"/>
  <c r="L414" i="72"/>
  <c r="L1968" i="93"/>
  <c r="P56" i="66"/>
  <c r="I1145" i="93"/>
  <c r="P67" i="93"/>
  <c r="O187" i="75"/>
  <c r="P187" i="75"/>
  <c r="P188" i="75" s="1"/>
  <c r="M180" i="75" s="1"/>
  <c r="F46" i="73"/>
  <c r="I44" i="73"/>
  <c r="O868" i="93"/>
  <c r="M42" i="73"/>
  <c r="N42" i="73"/>
  <c r="M1139" i="93"/>
  <c r="N1139" i="93"/>
  <c r="E536" i="93"/>
  <c r="J536" i="93" s="1"/>
  <c r="J119" i="75"/>
  <c r="O119" i="75" s="1"/>
  <c r="J480" i="93" s="1"/>
  <c r="K1140" i="93"/>
  <c r="N48" i="73"/>
  <c r="M48" i="73"/>
  <c r="M41" i="73"/>
  <c r="N41" i="73"/>
  <c r="M1135" i="93"/>
  <c r="N1135" i="93"/>
  <c r="N1140" i="93" s="1"/>
  <c r="N1160" i="93"/>
  <c r="M1160" i="93"/>
  <c r="N66" i="73"/>
  <c r="M66" i="73"/>
  <c r="M64" i="73"/>
  <c r="N64" i="73"/>
  <c r="H67" i="93"/>
  <c r="H55" i="66"/>
  <c r="H57" i="66"/>
  <c r="F480" i="93"/>
  <c r="F44" i="78"/>
  <c r="H12" i="88"/>
  <c r="D34" i="90" s="1"/>
  <c r="I7" i="88"/>
  <c r="I13" i="88" s="1"/>
  <c r="O874" i="93"/>
  <c r="J876" i="93"/>
  <c r="O876" i="93" s="1"/>
  <c r="J819" i="93"/>
  <c r="O819" i="93" s="1"/>
  <c r="O817" i="93"/>
  <c r="K18" i="88"/>
  <c r="H16" i="85"/>
  <c r="B14" i="74"/>
  <c r="B970" i="93"/>
  <c r="B971" i="93" s="1"/>
  <c r="B972" i="93" s="1"/>
  <c r="O122" i="75"/>
  <c r="H879" i="93"/>
  <c r="O879" i="93" s="1"/>
  <c r="K77" i="84"/>
  <c r="C81" i="84"/>
  <c r="C80" i="84"/>
  <c r="G77" i="84"/>
  <c r="C993" i="93"/>
  <c r="D37" i="74"/>
  <c r="I77" i="84"/>
  <c r="E77" i="84"/>
  <c r="I978" i="93" l="1"/>
  <c r="I991" i="93" s="1"/>
  <c r="J971" i="93"/>
  <c r="J970" i="93"/>
  <c r="J977" i="93"/>
  <c r="K969" i="93"/>
  <c r="J975" i="93"/>
  <c r="G991" i="93"/>
  <c r="G987" i="93"/>
  <c r="K13" i="74"/>
  <c r="J21" i="74"/>
  <c r="D33" i="86" s="1"/>
  <c r="I987" i="93"/>
  <c r="N53" i="73"/>
  <c r="P168" i="93"/>
  <c r="O945" i="93"/>
  <c r="P937" i="93" s="1"/>
  <c r="J154" i="78"/>
  <c r="J155" i="78" s="1"/>
  <c r="G15" i="82" s="1"/>
  <c r="G19" i="82" s="1"/>
  <c r="P167" i="93"/>
  <c r="K52" i="72"/>
  <c r="O52" i="72" s="1"/>
  <c r="I46" i="73"/>
  <c r="K69" i="73"/>
  <c r="N97" i="93"/>
  <c r="J479" i="93"/>
  <c r="E483" i="93"/>
  <c r="J282" i="72"/>
  <c r="L282" i="72" s="1"/>
  <c r="P282" i="72" s="1"/>
  <c r="M305" i="73"/>
  <c r="M1399" i="93" s="1"/>
  <c r="L1399" i="93" s="1"/>
  <c r="N83" i="66"/>
  <c r="M1962" i="93"/>
  <c r="D134" i="78"/>
  <c r="M408" i="72"/>
  <c r="O405" i="72" s="1"/>
  <c r="J182" i="75"/>
  <c r="O1975" i="93"/>
  <c r="O1976" i="93" s="1"/>
  <c r="E47" i="78"/>
  <c r="J43" i="78"/>
  <c r="N86" i="66"/>
  <c r="F560" i="93"/>
  <c r="L1951" i="93"/>
  <c r="F124" i="78"/>
  <c r="O426" i="72"/>
  <c r="O427" i="72" s="1"/>
  <c r="E514" i="93"/>
  <c r="P177" i="75"/>
  <c r="J181" i="75"/>
  <c r="O1980" i="93"/>
  <c r="O1981" i="93" s="1"/>
  <c r="N94" i="93"/>
  <c r="C13" i="84"/>
  <c r="F52" i="89" s="1"/>
  <c r="O421" i="72"/>
  <c r="O422" i="72" s="1"/>
  <c r="D570" i="93"/>
  <c r="L397" i="72"/>
  <c r="J180" i="75"/>
  <c r="O155" i="72"/>
  <c r="O1709" i="93" s="1"/>
  <c r="P155" i="72"/>
  <c r="P1709" i="93" s="1"/>
  <c r="E78" i="78"/>
  <c r="J1836" i="93"/>
  <c r="L1836" i="93" s="1"/>
  <c r="G984" i="93"/>
  <c r="G986" i="93" s="1"/>
  <c r="G53" i="82"/>
  <c r="F997" i="93"/>
  <c r="G41" i="74"/>
  <c r="J45" i="72"/>
  <c r="F43" i="78"/>
  <c r="O168" i="93"/>
  <c r="P156" i="66"/>
  <c r="L48" i="72"/>
  <c r="L1602" i="93" s="1"/>
  <c r="J1599" i="93"/>
  <c r="P590" i="93"/>
  <c r="P591" i="93" s="1"/>
  <c r="P593" i="93" s="1"/>
  <c r="L52" i="72"/>
  <c r="P52" i="72" s="1"/>
  <c r="F479" i="93"/>
  <c r="K48" i="72"/>
  <c r="O48" i="72" s="1"/>
  <c r="M590" i="93"/>
  <c r="M591" i="93" s="1"/>
  <c r="M593" i="93" s="1"/>
  <c r="P157" i="66"/>
  <c r="L49" i="72"/>
  <c r="L1603" i="93" s="1"/>
  <c r="O157" i="66"/>
  <c r="K49" i="72"/>
  <c r="O49" i="72" s="1"/>
  <c r="O1603" i="93" s="1"/>
  <c r="M154" i="78"/>
  <c r="M155" i="78" s="1"/>
  <c r="M157" i="78" s="1"/>
  <c r="P154" i="78"/>
  <c r="P155" i="78" s="1"/>
  <c r="P157" i="78" s="1"/>
  <c r="G134" i="78"/>
  <c r="K13" i="84"/>
  <c r="C20" i="84" s="1"/>
  <c r="G570" i="93"/>
  <c r="P479" i="93"/>
  <c r="P43" i="78"/>
  <c r="F1163" i="93"/>
  <c r="I67" i="73"/>
  <c r="K1163" i="93"/>
  <c r="F69" i="73"/>
  <c r="O944" i="93"/>
  <c r="J44" i="78"/>
  <c r="N46" i="73"/>
  <c r="H7" i="84"/>
  <c r="E47" i="92" s="1"/>
  <c r="N67" i="73"/>
  <c r="J14" i="74"/>
  <c r="I14" i="74"/>
  <c r="H14" i="74"/>
  <c r="F14" i="74"/>
  <c r="G14" i="74"/>
  <c r="B15" i="74"/>
  <c r="B16" i="74" s="1"/>
  <c r="C54" i="84" s="1"/>
  <c r="D14" i="74"/>
  <c r="C14" i="74"/>
  <c r="C52" i="84"/>
  <c r="I52" i="84" s="1"/>
  <c r="E14" i="74"/>
  <c r="F54" i="89"/>
  <c r="D33" i="90" s="1"/>
  <c r="J938" i="93"/>
  <c r="J939" i="93"/>
  <c r="J937" i="93"/>
  <c r="M1395" i="93"/>
  <c r="L1395" i="93" s="1"/>
  <c r="L301" i="73"/>
  <c r="B976" i="93"/>
  <c r="D993" i="93"/>
  <c r="E37" i="74"/>
  <c r="F10" i="86" s="1"/>
  <c r="E10" i="86"/>
  <c r="K977" i="93" l="1"/>
  <c r="K975" i="93"/>
  <c r="B999" i="93"/>
  <c r="K971" i="93"/>
  <c r="K970" i="93"/>
  <c r="K972" i="93" s="1"/>
  <c r="K976" i="93" s="1"/>
  <c r="K992" i="93" s="1"/>
  <c r="J972" i="93"/>
  <c r="J976" i="93"/>
  <c r="J992" i="93" s="1"/>
  <c r="B43" i="74"/>
  <c r="K21" i="74"/>
  <c r="E33" i="86" s="1"/>
  <c r="J157" i="78"/>
  <c r="J158" i="78" s="1"/>
  <c r="J171" i="78" s="1"/>
  <c r="J175" i="78" s="1"/>
  <c r="K14" i="74"/>
  <c r="H69" i="73"/>
  <c r="H1163" i="93" s="1"/>
  <c r="P48" i="72"/>
  <c r="P153" i="72"/>
  <c r="P1707" i="93" s="1"/>
  <c r="P49" i="72"/>
  <c r="P1603" i="93" s="1"/>
  <c r="K1606" i="93"/>
  <c r="L305" i="73"/>
  <c r="P405" i="72"/>
  <c r="P1959" i="93" s="1"/>
  <c r="O153" i="72"/>
  <c r="E32" i="72" s="1"/>
  <c r="E1586" i="93" s="1"/>
  <c r="K1602" i="93"/>
  <c r="D16" i="83"/>
  <c r="H20" i="84"/>
  <c r="F16" i="85"/>
  <c r="O282" i="72"/>
  <c r="O1836" i="93" s="1"/>
  <c r="C19" i="84"/>
  <c r="H19" i="84"/>
  <c r="K19" i="88"/>
  <c r="I39" i="88" s="1"/>
  <c r="K38" i="88" s="1"/>
  <c r="L1606" i="93"/>
  <c r="H53" i="82"/>
  <c r="H984" i="93"/>
  <c r="H986" i="93" s="1"/>
  <c r="G997" i="93"/>
  <c r="H41" i="74"/>
  <c r="J594" i="93"/>
  <c r="J607" i="93" s="1"/>
  <c r="M609" i="93" s="1"/>
  <c r="K1603" i="93"/>
  <c r="M69" i="73"/>
  <c r="M1163" i="93" s="1"/>
  <c r="E26" i="89"/>
  <c r="P63" i="73"/>
  <c r="J162" i="78" s="1"/>
  <c r="G162" i="78" s="1"/>
  <c r="E52" i="84"/>
  <c r="K15" i="74"/>
  <c r="K16" i="74" s="1"/>
  <c r="G15" i="74"/>
  <c r="G16" i="74" s="1"/>
  <c r="G20" i="74" s="1"/>
  <c r="G52" i="84"/>
  <c r="I15" i="74"/>
  <c r="I16" i="74" s="1"/>
  <c r="I20" i="74" s="1"/>
  <c r="J15" i="74"/>
  <c r="J16" i="74" s="1"/>
  <c r="D15" i="74"/>
  <c r="D16" i="74" s="1"/>
  <c r="D20" i="74" s="1"/>
  <c r="J4" i="91"/>
  <c r="H15" i="74"/>
  <c r="H16" i="74" s="1"/>
  <c r="H20" i="74" s="1"/>
  <c r="C53" i="84"/>
  <c r="C56" i="84" s="1"/>
  <c r="C64" i="84" s="1"/>
  <c r="K5" i="74"/>
  <c r="B20" i="74"/>
  <c r="P927" i="93" s="1"/>
  <c r="N929" i="93" s="1"/>
  <c r="F15" i="74"/>
  <c r="F16" i="74" s="1"/>
  <c r="B45" i="74"/>
  <c r="E15" i="74"/>
  <c r="E16" i="74" s="1"/>
  <c r="E20" i="74" s="1"/>
  <c r="C15" i="74"/>
  <c r="C16" i="74" s="1"/>
  <c r="C20" i="74" s="1"/>
  <c r="K52" i="84"/>
  <c r="D55" i="92"/>
  <c r="D35" i="90"/>
  <c r="I64" i="92" s="1"/>
  <c r="P1602" i="93"/>
  <c r="O1602" i="93"/>
  <c r="O47" i="72"/>
  <c r="O1959" i="93"/>
  <c r="O396" i="72"/>
  <c r="P1606" i="93"/>
  <c r="P51" i="72"/>
  <c r="P1605" i="93" s="1"/>
  <c r="O51" i="72"/>
  <c r="O1605" i="93" s="1"/>
  <c r="O1606" i="93"/>
  <c r="P270" i="72"/>
  <c r="P1824" i="93" s="1"/>
  <c r="P1836" i="93"/>
  <c r="E993" i="93"/>
  <c r="F37" i="74"/>
  <c r="B25" i="82"/>
  <c r="B72" i="82" s="1"/>
  <c r="K978" i="93" l="1"/>
  <c r="J978" i="93"/>
  <c r="B1005" i="93"/>
  <c r="B1007" i="93"/>
  <c r="B1001" i="93"/>
  <c r="C999" i="93"/>
  <c r="B1000" i="93"/>
  <c r="K987" i="93"/>
  <c r="K991" i="93"/>
  <c r="B51" i="74"/>
  <c r="F33" i="86" s="1"/>
  <c r="C43" i="74"/>
  <c r="B44" i="74"/>
  <c r="B46" i="74" s="1"/>
  <c r="B50" i="74" s="1"/>
  <c r="P47" i="72"/>
  <c r="O1707" i="93"/>
  <c r="P396" i="72"/>
  <c r="P1950" i="93" s="1"/>
  <c r="O270" i="72"/>
  <c r="O1824" i="93" s="1"/>
  <c r="K21" i="88"/>
  <c r="K30" i="88" s="1"/>
  <c r="K34" i="88" s="1"/>
  <c r="I53" i="82"/>
  <c r="I984" i="93"/>
  <c r="I986" i="93" s="1"/>
  <c r="I41" i="74"/>
  <c r="H997" i="93"/>
  <c r="J611" i="93"/>
  <c r="E535" i="93" s="1"/>
  <c r="J535" i="93" s="1"/>
  <c r="M173" i="78"/>
  <c r="J598" i="93"/>
  <c r="G598" i="93" s="1"/>
  <c r="K20" i="74"/>
  <c r="K53" i="84"/>
  <c r="K54" i="84" s="1"/>
  <c r="P1157" i="93"/>
  <c r="K13" i="88"/>
  <c r="F20" i="74"/>
  <c r="J20" i="74"/>
  <c r="P932" i="93"/>
  <c r="O933" i="93" s="1"/>
  <c r="I53" i="84"/>
  <c r="I54" i="84" s="1"/>
  <c r="K7" i="74"/>
  <c r="N928" i="93"/>
  <c r="E53" i="84"/>
  <c r="E54" i="84" s="1"/>
  <c r="E56" i="84" s="1"/>
  <c r="E64" i="84" s="1"/>
  <c r="P170" i="75"/>
  <c r="N172" i="75" s="1"/>
  <c r="G53" i="84"/>
  <c r="G54" i="84" s="1"/>
  <c r="O1950" i="93"/>
  <c r="E40" i="72"/>
  <c r="E1594" i="93" s="1"/>
  <c r="P43" i="72"/>
  <c r="P1601" i="93"/>
  <c r="O1601" i="93"/>
  <c r="O43" i="72"/>
  <c r="L50" i="68"/>
  <c r="N50" i="68" s="1"/>
  <c r="L412" i="93"/>
  <c r="N412" i="93" s="1"/>
  <c r="I20" i="93"/>
  <c r="L49" i="68"/>
  <c r="C21" i="86"/>
  <c r="E99" i="78"/>
  <c r="J99" i="78" s="1"/>
  <c r="L413" i="93"/>
  <c r="N413" i="93" s="1"/>
  <c r="M61" i="85"/>
  <c r="P61" i="85" s="1"/>
  <c r="I9" i="66"/>
  <c r="F993" i="93"/>
  <c r="G37" i="74"/>
  <c r="H10" i="86" s="1"/>
  <c r="G10" i="86"/>
  <c r="I72" i="82"/>
  <c r="K72" i="82"/>
  <c r="B52" i="82"/>
  <c r="I52" i="82"/>
  <c r="K52" i="82"/>
  <c r="E72" i="82"/>
  <c r="C72" i="82"/>
  <c r="D72" i="82"/>
  <c r="C52" i="82"/>
  <c r="D52" i="82"/>
  <c r="H52" i="82"/>
  <c r="F52" i="82"/>
  <c r="J72" i="82"/>
  <c r="H72" i="82"/>
  <c r="G72" i="82"/>
  <c r="F72" i="82"/>
  <c r="G52" i="82"/>
  <c r="E52" i="82"/>
  <c r="B26" i="82"/>
  <c r="B5" i="82" s="1"/>
  <c r="B6" i="82" s="1"/>
  <c r="B7" i="82" s="1"/>
  <c r="J52" i="82"/>
  <c r="C1000" i="93" l="1"/>
  <c r="C1001" i="93"/>
  <c r="C1005" i="93"/>
  <c r="D999" i="93"/>
  <c r="C1007" i="93"/>
  <c r="B1006" i="93"/>
  <c r="B1022" i="93" s="1"/>
  <c r="B1002" i="93"/>
  <c r="B1008" i="93" s="1"/>
  <c r="J991" i="93"/>
  <c r="J987" i="93"/>
  <c r="C51" i="74"/>
  <c r="G33" i="86" s="1"/>
  <c r="D43" i="74"/>
  <c r="C44" i="74"/>
  <c r="C45" i="74"/>
  <c r="J984" i="93"/>
  <c r="J986" i="93" s="1"/>
  <c r="J53" i="82"/>
  <c r="J41" i="74"/>
  <c r="I997" i="93"/>
  <c r="K56" i="84"/>
  <c r="K64" i="84" s="1"/>
  <c r="G56" i="84"/>
  <c r="G64" i="84" s="1"/>
  <c r="M932" i="93"/>
  <c r="I56" i="84"/>
  <c r="I64" i="84" s="1"/>
  <c r="P175" i="75"/>
  <c r="B19" i="74" s="1"/>
  <c r="P947" i="93"/>
  <c r="N171" i="75"/>
  <c r="C68" i="84"/>
  <c r="C70" i="84" s="1"/>
  <c r="B14" i="82"/>
  <c r="N49" i="68"/>
  <c r="O441" i="72"/>
  <c r="O1597" i="93"/>
  <c r="R43" i="72"/>
  <c r="P1597" i="93"/>
  <c r="P1995" i="93" s="1"/>
  <c r="P441" i="72"/>
  <c r="C22" i="86"/>
  <c r="C42" i="86" s="1"/>
  <c r="D42" i="86" s="1"/>
  <c r="E42" i="86" s="1"/>
  <c r="C41" i="86"/>
  <c r="D41" i="86" s="1"/>
  <c r="E41" i="86" s="1"/>
  <c r="D21" i="86"/>
  <c r="G993" i="93"/>
  <c r="H37" i="74"/>
  <c r="I10" i="86"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1017" i="93" l="1"/>
  <c r="B1021" i="93"/>
  <c r="O6" i="72"/>
  <c r="R1995" i="93"/>
  <c r="D1005" i="93"/>
  <c r="E999" i="93"/>
  <c r="D1001" i="93"/>
  <c r="D1000" i="93"/>
  <c r="D1007" i="93"/>
  <c r="C1002" i="93"/>
  <c r="C46" i="74"/>
  <c r="C50" i="74" s="1"/>
  <c r="E43" i="74"/>
  <c r="D51" i="74"/>
  <c r="H33" i="86" s="1"/>
  <c r="D44" i="74"/>
  <c r="D45" i="74"/>
  <c r="F122" i="78"/>
  <c r="K984" i="93"/>
  <c r="K986" i="93" s="1"/>
  <c r="K53" i="82"/>
  <c r="K41" i="74"/>
  <c r="J997" i="93"/>
  <c r="F558" i="93"/>
  <c r="M175" i="75"/>
  <c r="H19" i="74"/>
  <c r="H36" i="74" s="1"/>
  <c r="E19" i="74"/>
  <c r="E36" i="74" s="1"/>
  <c r="D19" i="74"/>
  <c r="D22" i="74" s="1"/>
  <c r="C19" i="74"/>
  <c r="C22" i="74" s="1"/>
  <c r="G19" i="74"/>
  <c r="G36" i="74" s="1"/>
  <c r="D49" i="74"/>
  <c r="F19" i="74"/>
  <c r="F22" i="74" s="1"/>
  <c r="B36" i="74"/>
  <c r="P190" i="75"/>
  <c r="B975" i="93"/>
  <c r="O176" i="75"/>
  <c r="F121" i="78"/>
  <c r="E68" i="84"/>
  <c r="E70" i="84" s="1"/>
  <c r="E72" i="84" s="1"/>
  <c r="F557" i="93"/>
  <c r="B22" i="74"/>
  <c r="B44" i="82" s="1"/>
  <c r="I19" i="74"/>
  <c r="I36" i="74" s="1"/>
  <c r="J19" i="74"/>
  <c r="J22" i="74" s="1"/>
  <c r="K19" i="74"/>
  <c r="K22" i="74" s="1"/>
  <c r="C49" i="74"/>
  <c r="E49" i="74"/>
  <c r="B49" i="74"/>
  <c r="B52" i="74" s="1"/>
  <c r="G68" i="84"/>
  <c r="G70" i="84" s="1"/>
  <c r="G72" i="84" s="1"/>
  <c r="I68" i="84"/>
  <c r="I70" i="84" s="1"/>
  <c r="I76" i="84" s="1"/>
  <c r="I73" i="84" s="1"/>
  <c r="K68" i="84"/>
  <c r="K70" i="84" s="1"/>
  <c r="K76" i="84" s="1"/>
  <c r="K73" i="84" s="1"/>
  <c r="C76" i="84"/>
  <c r="C73" i="84" s="1"/>
  <c r="C72" i="84"/>
  <c r="R1597" i="93"/>
  <c r="O1995" i="93"/>
  <c r="O1560" i="93" s="1"/>
  <c r="P6" i="72"/>
  <c r="P444" i="72"/>
  <c r="E21" i="86"/>
  <c r="D22" i="86"/>
  <c r="P1998" i="93"/>
  <c r="P1560" i="93"/>
  <c r="B20" i="82"/>
  <c r="B21" i="82" s="1"/>
  <c r="G20" i="82"/>
  <c r="G21" i="82" s="1"/>
  <c r="B31" i="74"/>
  <c r="H993" i="93"/>
  <c r="I37" i="74"/>
  <c r="C1008" i="93" l="1"/>
  <c r="D46" i="74"/>
  <c r="D50" i="74" s="1"/>
  <c r="D1002" i="93"/>
  <c r="E1005" i="93"/>
  <c r="F999" i="93"/>
  <c r="E1001" i="93"/>
  <c r="E1007" i="93"/>
  <c r="E1000" i="93"/>
  <c r="D52" i="74"/>
  <c r="D61" i="74" s="1"/>
  <c r="D1006" i="93"/>
  <c r="D1022" i="93" s="1"/>
  <c r="C1006" i="93"/>
  <c r="C1022" i="93" s="1"/>
  <c r="C52" i="74"/>
  <c r="C61" i="74" s="1"/>
  <c r="F43" i="74"/>
  <c r="E51" i="74"/>
  <c r="I33" i="86" s="1"/>
  <c r="E44" i="74"/>
  <c r="E45" i="74"/>
  <c r="D1008" i="93"/>
  <c r="E22" i="74"/>
  <c r="G22" i="74"/>
  <c r="G31" i="74" s="1"/>
  <c r="H22" i="74"/>
  <c r="H31" i="74" s="1"/>
  <c r="C66" i="74"/>
  <c r="K36" i="74"/>
  <c r="D66" i="74"/>
  <c r="D36" i="74"/>
  <c r="B73" i="82"/>
  <c r="B1014" i="93"/>
  <c r="B1016" i="93" s="1"/>
  <c r="K997" i="93"/>
  <c r="B71" i="74"/>
  <c r="F36" i="74"/>
  <c r="B66" i="74"/>
  <c r="C36" i="74"/>
  <c r="B30" i="74"/>
  <c r="S19" i="74" s="1"/>
  <c r="B35" i="74"/>
  <c r="I22" i="74"/>
  <c r="I30" i="74" s="1"/>
  <c r="C29" i="86" s="1"/>
  <c r="E76" i="84"/>
  <c r="E73" i="84" s="1"/>
  <c r="B992" i="93"/>
  <c r="B978" i="93"/>
  <c r="J36" i="74"/>
  <c r="G76" i="84"/>
  <c r="G73" i="84" s="1"/>
  <c r="K72" i="84"/>
  <c r="I72" i="84"/>
  <c r="E22" i="86"/>
  <c r="F21" i="86"/>
  <c r="H35" i="74"/>
  <c r="E94" i="74"/>
  <c r="E90" i="74"/>
  <c r="K44" i="82"/>
  <c r="K31" i="74"/>
  <c r="K35" i="74"/>
  <c r="K30" i="74"/>
  <c r="E29" i="86" s="1"/>
  <c r="E44" i="82"/>
  <c r="E30" i="74"/>
  <c r="F9" i="86" s="1"/>
  <c r="F17" i="86" s="1"/>
  <c r="F18" i="86" s="1"/>
  <c r="F20" i="86" s="1"/>
  <c r="F24" i="86" s="1"/>
  <c r="K9" i="86" s="1"/>
  <c r="E35" i="74"/>
  <c r="E31" i="74"/>
  <c r="C90" i="74"/>
  <c r="C94" i="74"/>
  <c r="B51" i="82"/>
  <c r="B54" i="82" s="1"/>
  <c r="B55" i="82" s="1"/>
  <c r="B56" i="82" s="1"/>
  <c r="B46" i="82"/>
  <c r="K90" i="74"/>
  <c r="K94" i="74"/>
  <c r="F118" i="74"/>
  <c r="F122" i="74"/>
  <c r="B118" i="74"/>
  <c r="B122" i="74"/>
  <c r="E122" i="74"/>
  <c r="E118" i="74"/>
  <c r="D35" i="74"/>
  <c r="D44" i="82"/>
  <c r="D30" i="74"/>
  <c r="E9" i="86" s="1"/>
  <c r="E17" i="86" s="1"/>
  <c r="E18" i="86" s="1"/>
  <c r="E20" i="86" s="1"/>
  <c r="E24" i="86" s="1"/>
  <c r="K8" i="86" s="1"/>
  <c r="D31" i="74"/>
  <c r="C35" i="74"/>
  <c r="C31" i="74"/>
  <c r="C30" i="74"/>
  <c r="D9" i="86" s="1"/>
  <c r="D17" i="86" s="1"/>
  <c r="D18" i="86" s="1"/>
  <c r="D20" i="86" s="1"/>
  <c r="D24" i="86" s="1"/>
  <c r="K7" i="86" s="1"/>
  <c r="C44" i="82"/>
  <c r="H94" i="74"/>
  <c r="H90" i="74"/>
  <c r="D90" i="74"/>
  <c r="D94" i="74"/>
  <c r="D65" i="74"/>
  <c r="D64" i="82"/>
  <c r="B65" i="74"/>
  <c r="B64" i="82"/>
  <c r="B61" i="74"/>
  <c r="B60" i="74"/>
  <c r="F29" i="86" s="1"/>
  <c r="J44" i="82"/>
  <c r="J35" i="74"/>
  <c r="J30" i="74"/>
  <c r="D29" i="86" s="1"/>
  <c r="J31" i="74"/>
  <c r="F30" i="74"/>
  <c r="G9" i="86" s="1"/>
  <c r="G17" i="86" s="1"/>
  <c r="G18" i="86" s="1"/>
  <c r="G20" i="86" s="1"/>
  <c r="G24" i="86" s="1"/>
  <c r="K10" i="86" s="1"/>
  <c r="F44" i="82"/>
  <c r="F31" i="74"/>
  <c r="F35" i="74"/>
  <c r="C118" i="74"/>
  <c r="C122" i="74"/>
  <c r="D118" i="74"/>
  <c r="D122" i="74"/>
  <c r="F94" i="74"/>
  <c r="F90" i="74"/>
  <c r="I993" i="93"/>
  <c r="J37" i="74"/>
  <c r="C30" i="86"/>
  <c r="E1006" i="93" l="1"/>
  <c r="E1022" i="93" s="1"/>
  <c r="E1002" i="93"/>
  <c r="C64" i="82"/>
  <c r="C71" i="82" s="1"/>
  <c r="F1001" i="93"/>
  <c r="F1000" i="93"/>
  <c r="F1002" i="93" s="1"/>
  <c r="F1007" i="93"/>
  <c r="G999" i="93"/>
  <c r="F1005" i="93"/>
  <c r="E46" i="74"/>
  <c r="E50" i="74" s="1"/>
  <c r="C65" i="74"/>
  <c r="C1021" i="93"/>
  <c r="C1017" i="93"/>
  <c r="G43" i="74"/>
  <c r="F51" i="74"/>
  <c r="C53" i="86" s="1"/>
  <c r="F44" i="74"/>
  <c r="F45" i="74"/>
  <c r="F49" i="74"/>
  <c r="F1006" i="93"/>
  <c r="F1022" i="93" s="1"/>
  <c r="D1021" i="93"/>
  <c r="D1017" i="93"/>
  <c r="G35" i="74"/>
  <c r="H44" i="82"/>
  <c r="H46" i="82" s="1"/>
  <c r="G44" i="82"/>
  <c r="G46" i="82" s="1"/>
  <c r="G30" i="74"/>
  <c r="H9" i="86" s="1"/>
  <c r="H17" i="86" s="1"/>
  <c r="H18" i="86" s="1"/>
  <c r="H20" i="86" s="1"/>
  <c r="H24" i="86" s="1"/>
  <c r="K11" i="86" s="1"/>
  <c r="H30" i="74"/>
  <c r="I9" i="86" s="1"/>
  <c r="I17" i="86" s="1"/>
  <c r="I18" i="86" s="1"/>
  <c r="I20" i="86" s="1"/>
  <c r="I24" i="86" s="1"/>
  <c r="K12" i="86" s="1"/>
  <c r="G90" i="74"/>
  <c r="J94" i="74"/>
  <c r="C66" i="82"/>
  <c r="I94" i="74"/>
  <c r="C73" i="82"/>
  <c r="C74" i="82" s="1"/>
  <c r="C75" i="82" s="1"/>
  <c r="C76" i="82" s="1"/>
  <c r="C1014" i="93"/>
  <c r="C1016" i="93" s="1"/>
  <c r="C60" i="74"/>
  <c r="G29" i="86" s="1"/>
  <c r="C71" i="74"/>
  <c r="B1027" i="93"/>
  <c r="C9" i="86"/>
  <c r="C17" i="86" s="1"/>
  <c r="C18" i="86" s="1"/>
  <c r="C20" i="86" s="1"/>
  <c r="C24" i="86" s="1"/>
  <c r="K6" i="86" s="1"/>
  <c r="G66" i="86" s="1"/>
  <c r="N85" i="85" s="1"/>
  <c r="I35" i="74"/>
  <c r="I44" i="82"/>
  <c r="I46" i="82" s="1"/>
  <c r="I31" i="74"/>
  <c r="C37" i="86"/>
  <c r="C38" i="86" s="1"/>
  <c r="C40" i="86" s="1"/>
  <c r="C44" i="86" s="1"/>
  <c r="K13" i="86" s="1"/>
  <c r="B90" i="74"/>
  <c r="B986" i="93"/>
  <c r="B987" i="93"/>
  <c r="B991" i="93"/>
  <c r="G21" i="86"/>
  <c r="F22" i="86"/>
  <c r="S20" i="74"/>
  <c r="D66" i="82"/>
  <c r="D71" i="82"/>
  <c r="J46" i="82"/>
  <c r="J51" i="82"/>
  <c r="J54" i="82" s="1"/>
  <c r="J55" i="82" s="1"/>
  <c r="J56" i="82" s="1"/>
  <c r="C46" i="82"/>
  <c r="C51" i="82"/>
  <c r="C54" i="82" s="1"/>
  <c r="C55" i="82" s="1"/>
  <c r="C56" i="82" s="1"/>
  <c r="S21" i="74"/>
  <c r="F51" i="82"/>
  <c r="F54" i="82" s="1"/>
  <c r="F55" i="82" s="1"/>
  <c r="F56" i="82" s="1"/>
  <c r="F46" i="82"/>
  <c r="B71" i="82"/>
  <c r="B74" i="82" s="1"/>
  <c r="B75" i="82" s="1"/>
  <c r="B76" i="82" s="1"/>
  <c r="B66" i="82"/>
  <c r="S22" i="74"/>
  <c r="D51" i="82"/>
  <c r="D54" i="82" s="1"/>
  <c r="D55" i="82" s="1"/>
  <c r="D56" i="82" s="1"/>
  <c r="D46" i="82"/>
  <c r="E46" i="82"/>
  <c r="E51" i="82"/>
  <c r="E54" i="82" s="1"/>
  <c r="E55" i="82" s="1"/>
  <c r="E56" i="82" s="1"/>
  <c r="K46" i="82"/>
  <c r="K51" i="82"/>
  <c r="K54" i="82" s="1"/>
  <c r="K55" i="82" s="1"/>
  <c r="K56" i="82" s="1"/>
  <c r="S23" i="74"/>
  <c r="J993" i="93"/>
  <c r="K37" i="74"/>
  <c r="D30" i="86"/>
  <c r="D37" i="86" s="1"/>
  <c r="D38" i="86" s="1"/>
  <c r="D40" i="86" s="1"/>
  <c r="D44" i="86" s="1"/>
  <c r="K14" i="86" s="1"/>
  <c r="E66" i="74" l="1"/>
  <c r="E52" i="74"/>
  <c r="G1005" i="93"/>
  <c r="G1001" i="93"/>
  <c r="H999" i="93"/>
  <c r="G1000" i="93"/>
  <c r="G1007" i="93"/>
  <c r="E1008" i="93"/>
  <c r="G51" i="74"/>
  <c r="D53" i="86" s="1"/>
  <c r="H43" i="74"/>
  <c r="G44" i="74"/>
  <c r="G45" i="74"/>
  <c r="G49" i="74"/>
  <c r="F46" i="74"/>
  <c r="F50" i="74" s="1"/>
  <c r="F66" i="74" s="1"/>
  <c r="E64" i="82"/>
  <c r="E61" i="74"/>
  <c r="E65" i="74"/>
  <c r="F1008" i="93"/>
  <c r="H51" i="82"/>
  <c r="H54" i="82" s="1"/>
  <c r="H55" i="82" s="1"/>
  <c r="H56" i="82" s="1"/>
  <c r="G51" i="82"/>
  <c r="G54" i="82" s="1"/>
  <c r="G55" i="82" s="1"/>
  <c r="G56" i="82" s="1"/>
  <c r="S24" i="74"/>
  <c r="S27" i="74"/>
  <c r="S26" i="74"/>
  <c r="S25" i="74"/>
  <c r="S29" i="74"/>
  <c r="S28" i="74"/>
  <c r="S30" i="74"/>
  <c r="D1014" i="93"/>
  <c r="D1016" i="93" s="1"/>
  <c r="D73" i="82"/>
  <c r="D74" i="82" s="1"/>
  <c r="D75" i="82" s="1"/>
  <c r="D76" i="82" s="1"/>
  <c r="D60" i="74"/>
  <c r="D71" i="74"/>
  <c r="C1027" i="93"/>
  <c r="I51" i="82"/>
  <c r="I54" i="82" s="1"/>
  <c r="I55" i="82" s="1"/>
  <c r="I56" i="82" s="1"/>
  <c r="H21" i="86"/>
  <c r="G22" i="86"/>
  <c r="K993" i="93"/>
  <c r="B67" i="74"/>
  <c r="E30" i="86"/>
  <c r="E37" i="86" s="1"/>
  <c r="E38" i="86" s="1"/>
  <c r="E40" i="86" s="1"/>
  <c r="E44" i="86" s="1"/>
  <c r="K15" i="86" s="1"/>
  <c r="E1021" i="93" l="1"/>
  <c r="E1017" i="93"/>
  <c r="H1001" i="93"/>
  <c r="H1007" i="93"/>
  <c r="H1005" i="93"/>
  <c r="I999" i="93"/>
  <c r="H1000" i="93"/>
  <c r="H1002" i="93" s="1"/>
  <c r="G1006" i="93"/>
  <c r="G1022" i="93" s="1"/>
  <c r="G1002" i="93"/>
  <c r="G1008" i="93" s="1"/>
  <c r="F52" i="74"/>
  <c r="G46" i="74"/>
  <c r="G50" i="74" s="1"/>
  <c r="G52" i="74" s="1"/>
  <c r="F1017" i="93"/>
  <c r="F1021" i="93"/>
  <c r="E71" i="82"/>
  <c r="E66" i="82"/>
  <c r="I43" i="74"/>
  <c r="H51" i="74"/>
  <c r="E53" i="86" s="1"/>
  <c r="H44" i="74"/>
  <c r="H45" i="74"/>
  <c r="H49" i="74"/>
  <c r="F61" i="74"/>
  <c r="F64" i="82"/>
  <c r="F65" i="74"/>
  <c r="H29" i="86"/>
  <c r="E1014" i="93"/>
  <c r="E1016" i="93" s="1"/>
  <c r="E73" i="82"/>
  <c r="E60" i="74"/>
  <c r="S31" i="74"/>
  <c r="D1027" i="93"/>
  <c r="E71" i="74"/>
  <c r="H22" i="86"/>
  <c r="I21" i="86"/>
  <c r="I22" i="86" s="1"/>
  <c r="B1023" i="93"/>
  <c r="C67" i="74"/>
  <c r="F30" i="86"/>
  <c r="F37" i="86" s="1"/>
  <c r="F38" i="86" s="1"/>
  <c r="F40" i="86" s="1"/>
  <c r="F44" i="86" s="1"/>
  <c r="K16" i="86" s="1"/>
  <c r="G1021" i="93" l="1"/>
  <c r="G1017" i="93"/>
  <c r="I1007" i="93"/>
  <c r="I1000" i="93"/>
  <c r="I1005" i="93"/>
  <c r="I1001" i="93"/>
  <c r="J999" i="93"/>
  <c r="H1006" i="93"/>
  <c r="H1022" i="93" s="1"/>
  <c r="G66" i="74"/>
  <c r="G65" i="74"/>
  <c r="G64" i="82"/>
  <c r="G61" i="74"/>
  <c r="E74" i="82"/>
  <c r="E75" i="82" s="1"/>
  <c r="E76" i="82" s="1"/>
  <c r="F71" i="82"/>
  <c r="F66" i="82"/>
  <c r="H46" i="74"/>
  <c r="H50" i="74" s="1"/>
  <c r="H66" i="74" s="1"/>
  <c r="J43" i="74"/>
  <c r="I51" i="74"/>
  <c r="F53" i="86" s="1"/>
  <c r="I44" i="74"/>
  <c r="I45" i="74"/>
  <c r="I49" i="74"/>
  <c r="I29" i="86"/>
  <c r="S32" i="74"/>
  <c r="F73" i="82"/>
  <c r="F1014" i="93"/>
  <c r="F1016" i="93" s="1"/>
  <c r="F60" i="74"/>
  <c r="E1027" i="93"/>
  <c r="F71" i="74"/>
  <c r="C1023" i="93"/>
  <c r="D67" i="74"/>
  <c r="G30" i="86"/>
  <c r="G37" i="86" s="1"/>
  <c r="G38" i="86" s="1"/>
  <c r="G40" i="86" s="1"/>
  <c r="G44" i="86" s="1"/>
  <c r="K17" i="86" s="1"/>
  <c r="J1005" i="93" l="1"/>
  <c r="J1000" i="93"/>
  <c r="J1001" i="93"/>
  <c r="K999" i="93"/>
  <c r="J1007" i="93"/>
  <c r="H1008" i="93"/>
  <c r="H1021" i="93" s="1"/>
  <c r="I1006" i="93"/>
  <c r="I1022" i="93" s="1"/>
  <c r="I1002" i="93"/>
  <c r="I1008" i="93" s="1"/>
  <c r="F74" i="82"/>
  <c r="F75" i="82" s="1"/>
  <c r="F76" i="82" s="1"/>
  <c r="I46" i="74"/>
  <c r="I50" i="74" s="1"/>
  <c r="I66" i="74" s="1"/>
  <c r="H52" i="74"/>
  <c r="G66" i="82"/>
  <c r="G71" i="82"/>
  <c r="J51" i="74"/>
  <c r="G53" i="86" s="1"/>
  <c r="K43" i="74"/>
  <c r="J44" i="74"/>
  <c r="J45" i="74"/>
  <c r="J49" i="74"/>
  <c r="G73" i="82"/>
  <c r="G74" i="82" s="1"/>
  <c r="G75" i="82" s="1"/>
  <c r="G76" i="82" s="1"/>
  <c r="G1014" i="93"/>
  <c r="G1016" i="93" s="1"/>
  <c r="G60" i="74"/>
  <c r="C49" i="86"/>
  <c r="S33" i="74"/>
  <c r="F1027" i="93"/>
  <c r="G71" i="74"/>
  <c r="G1027" i="93" s="1"/>
  <c r="D1023" i="93"/>
  <c r="E67" i="74"/>
  <c r="I30" i="86" s="1"/>
  <c r="I37" i="86" s="1"/>
  <c r="I38" i="86" s="1"/>
  <c r="I40" i="86" s="1"/>
  <c r="I44" i="86" s="1"/>
  <c r="K19" i="86" s="1"/>
  <c r="H30" i="86"/>
  <c r="H37" i="86" s="1"/>
  <c r="H38" i="86" s="1"/>
  <c r="H40" i="86" s="1"/>
  <c r="H44" i="86" s="1"/>
  <c r="K18" i="86" s="1"/>
  <c r="I1021" i="93" l="1"/>
  <c r="I1017" i="93"/>
  <c r="H1017" i="93"/>
  <c r="K1007" i="93"/>
  <c r="K1001" i="93"/>
  <c r="B1029" i="93"/>
  <c r="K1000" i="93"/>
  <c r="K1002" i="93" s="1"/>
  <c r="K1006" i="93" s="1"/>
  <c r="K1022" i="93" s="1"/>
  <c r="K1005" i="93"/>
  <c r="J46" i="74"/>
  <c r="J50" i="74" s="1"/>
  <c r="J1002" i="93"/>
  <c r="K51" i="74"/>
  <c r="H53" i="86" s="1"/>
  <c r="B73" i="74"/>
  <c r="K44" i="74"/>
  <c r="K45" i="74"/>
  <c r="K46" i="74" s="1"/>
  <c r="K49" i="74"/>
  <c r="J66" i="74"/>
  <c r="H64" i="82"/>
  <c r="H61" i="74"/>
  <c r="H65" i="74"/>
  <c r="I52" i="74"/>
  <c r="J52" i="74"/>
  <c r="S34" i="74"/>
  <c r="F44" i="68"/>
  <c r="H1014" i="93"/>
  <c r="H1016" i="93" s="1"/>
  <c r="H73" i="82"/>
  <c r="H60" i="74"/>
  <c r="S35" i="74" s="1"/>
  <c r="E1023" i="93"/>
  <c r="F67" i="74"/>
  <c r="C1029" i="93" l="1"/>
  <c r="B1031" i="93"/>
  <c r="B1035" i="93"/>
  <c r="B1037" i="93"/>
  <c r="B1030" i="93"/>
  <c r="B1032" i="93" s="1"/>
  <c r="B1036" i="93" s="1"/>
  <c r="B1051" i="93" s="1"/>
  <c r="I45" i="68"/>
  <c r="F407" i="93"/>
  <c r="J1008" i="93"/>
  <c r="K1008" i="93"/>
  <c r="J1006" i="93"/>
  <c r="J1022" i="93" s="1"/>
  <c r="K50" i="74"/>
  <c r="K66" i="74" s="1"/>
  <c r="J61" i="74"/>
  <c r="J64" i="82"/>
  <c r="J65" i="74"/>
  <c r="H66" i="82"/>
  <c r="H71" i="82"/>
  <c r="H74" i="82" s="1"/>
  <c r="H75" i="82" s="1"/>
  <c r="H76" i="82" s="1"/>
  <c r="K1021" i="93"/>
  <c r="K1017" i="93"/>
  <c r="B1038" i="93"/>
  <c r="B81" i="74"/>
  <c r="C73" i="74"/>
  <c r="B74" i="74"/>
  <c r="B75" i="74"/>
  <c r="B76" i="74" s="1"/>
  <c r="B80" i="74" s="1"/>
  <c r="B79" i="74"/>
  <c r="I65" i="74"/>
  <c r="I64" i="82"/>
  <c r="I61" i="74"/>
  <c r="F85" i="92"/>
  <c r="F89" i="92" s="1"/>
  <c r="F105" i="92" s="1"/>
  <c r="F45" i="68"/>
  <c r="F408" i="93" s="1"/>
  <c r="I408" i="93"/>
  <c r="I1014" i="93"/>
  <c r="I1016" i="93" s="1"/>
  <c r="I73" i="82"/>
  <c r="I60" i="74"/>
  <c r="S36" i="74" s="1"/>
  <c r="F1023" i="93"/>
  <c r="G67" i="74"/>
  <c r="D50" i="86" s="1"/>
  <c r="D57" i="86" s="1"/>
  <c r="D58" i="86" s="1"/>
  <c r="D60" i="86" s="1"/>
  <c r="D64" i="86" s="1"/>
  <c r="K21" i="86" s="1"/>
  <c r="C50" i="86"/>
  <c r="C57" i="86" s="1"/>
  <c r="C58" i="86" s="1"/>
  <c r="C60" i="86" s="1"/>
  <c r="C64" i="86" s="1"/>
  <c r="K20" i="86" s="1"/>
  <c r="J1017" i="93" l="1"/>
  <c r="J1021" i="93"/>
  <c r="K52" i="74"/>
  <c r="K65" i="74" s="1"/>
  <c r="C1031" i="93"/>
  <c r="D1029" i="93"/>
  <c r="C1030" i="93"/>
  <c r="C1032" i="93" s="1"/>
  <c r="C1035" i="93"/>
  <c r="C1037" i="93"/>
  <c r="D73" i="74"/>
  <c r="C81" i="74"/>
  <c r="C74" i="74"/>
  <c r="C75" i="74"/>
  <c r="C79" i="74"/>
  <c r="J66" i="82"/>
  <c r="J71" i="82"/>
  <c r="K64" i="82"/>
  <c r="B95" i="74"/>
  <c r="I66" i="82"/>
  <c r="I71" i="82"/>
  <c r="I74" i="82" s="1"/>
  <c r="I75" i="82" s="1"/>
  <c r="I76" i="82" s="1"/>
  <c r="B82" i="74"/>
  <c r="B94" i="74" s="1"/>
  <c r="J73" i="82"/>
  <c r="J74" i="82" s="1"/>
  <c r="J75" i="82" s="1"/>
  <c r="J76" i="82" s="1"/>
  <c r="J1014" i="93"/>
  <c r="J1016" i="93" s="1"/>
  <c r="J60" i="74"/>
  <c r="S37" i="74" s="1"/>
  <c r="G1023" i="93"/>
  <c r="H67" i="74"/>
  <c r="K61" i="74" l="1"/>
  <c r="C76" i="74"/>
  <c r="C80" i="74" s="1"/>
  <c r="C95" i="74" s="1"/>
  <c r="E1029" i="93"/>
  <c r="D1037" i="93"/>
  <c r="D1030" i="93"/>
  <c r="D1035" i="93"/>
  <c r="D1031" i="93"/>
  <c r="C1036" i="93"/>
  <c r="C1051" i="93" s="1"/>
  <c r="D81" i="74"/>
  <c r="E73" i="74"/>
  <c r="D74" i="74"/>
  <c r="D75" i="74"/>
  <c r="D79" i="74"/>
  <c r="K66" i="82"/>
  <c r="K71" i="82"/>
  <c r="B88" i="74"/>
  <c r="K1014" i="93"/>
  <c r="K1016" i="93" s="1"/>
  <c r="K73" i="82"/>
  <c r="K60" i="74"/>
  <c r="S38" i="74" s="1"/>
  <c r="H1023" i="93"/>
  <c r="I67" i="74"/>
  <c r="E50" i="86"/>
  <c r="E57" i="86" s="1"/>
  <c r="E58" i="86" s="1"/>
  <c r="E60" i="86" s="1"/>
  <c r="E64" i="86" s="1"/>
  <c r="K22" i="86" s="1"/>
  <c r="D1032" i="93" l="1"/>
  <c r="C1038" i="93"/>
  <c r="F1029" i="93"/>
  <c r="E1035" i="93"/>
  <c r="E1030" i="93"/>
  <c r="E1037" i="93"/>
  <c r="E1031" i="93"/>
  <c r="K74" i="82"/>
  <c r="K75" i="82" s="1"/>
  <c r="K76" i="82" s="1"/>
  <c r="C82" i="74"/>
  <c r="F73" i="74"/>
  <c r="E81" i="74"/>
  <c r="E74" i="74"/>
  <c r="E75" i="74"/>
  <c r="E79" i="74"/>
  <c r="D76" i="74"/>
  <c r="D80" i="74" s="1"/>
  <c r="D95" i="74" s="1"/>
  <c r="C88" i="74"/>
  <c r="B1044" i="93"/>
  <c r="B1045" i="93" s="1"/>
  <c r="B89" i="74"/>
  <c r="I1023" i="93"/>
  <c r="J67" i="74"/>
  <c r="F50" i="86"/>
  <c r="F57" i="86" s="1"/>
  <c r="F58" i="86" s="1"/>
  <c r="F60" i="86" s="1"/>
  <c r="F64" i="86" s="1"/>
  <c r="K23" i="86" s="1"/>
  <c r="E1032" i="93" l="1"/>
  <c r="E1036" i="93" s="1"/>
  <c r="E1051" i="93" s="1"/>
  <c r="F1030" i="93"/>
  <c r="F1031" i="93"/>
  <c r="F1037" i="93"/>
  <c r="F1035" i="93"/>
  <c r="G1029" i="93"/>
  <c r="D1038" i="93"/>
  <c r="D1036" i="93"/>
  <c r="D1051" i="93" s="1"/>
  <c r="F81" i="74"/>
  <c r="G73" i="74"/>
  <c r="F74" i="74"/>
  <c r="F75" i="74"/>
  <c r="F76" i="74" s="1"/>
  <c r="F80" i="74" s="1"/>
  <c r="F95" i="74" s="1"/>
  <c r="F79" i="74"/>
  <c r="E76" i="74"/>
  <c r="E80" i="74" s="1"/>
  <c r="E95" i="74" s="1"/>
  <c r="D82" i="74"/>
  <c r="D88" i="74"/>
  <c r="C1044" i="93"/>
  <c r="C1045" i="93" s="1"/>
  <c r="C89" i="74"/>
  <c r="J1023" i="93"/>
  <c r="K67" i="74"/>
  <c r="H50" i="86" s="1"/>
  <c r="H57" i="86" s="1"/>
  <c r="H58" i="86" s="1"/>
  <c r="H60" i="86" s="1"/>
  <c r="H64" i="86" s="1"/>
  <c r="K25" i="86" s="1"/>
  <c r="G50" i="86"/>
  <c r="G57" i="86" s="1"/>
  <c r="G58" i="86" s="1"/>
  <c r="G60" i="86" s="1"/>
  <c r="G64" i="86" s="1"/>
  <c r="K24" i="86" s="1"/>
  <c r="H1029" i="93" l="1"/>
  <c r="G1037" i="93"/>
  <c r="G1030" i="93"/>
  <c r="G1035" i="93"/>
  <c r="G1031" i="93"/>
  <c r="F1032" i="93"/>
  <c r="F1036" i="93"/>
  <c r="F1051" i="93" s="1"/>
  <c r="E1038" i="93"/>
  <c r="H73" i="74"/>
  <c r="G81" i="74"/>
  <c r="G74" i="74"/>
  <c r="G75" i="74"/>
  <c r="G79" i="74"/>
  <c r="F82" i="74"/>
  <c r="E82" i="74"/>
  <c r="D1044" i="93"/>
  <c r="D1045" i="93" s="1"/>
  <c r="E88" i="74"/>
  <c r="D89" i="74"/>
  <c r="K1023" i="93"/>
  <c r="C85" i="90"/>
  <c r="O8" i="86"/>
  <c r="O14" i="86" s="1"/>
  <c r="O33" i="86" s="1"/>
  <c r="H63" i="86" s="1"/>
  <c r="L63" i="85"/>
  <c r="L93" i="85"/>
  <c r="B96" i="74"/>
  <c r="G76" i="74" l="1"/>
  <c r="G1032" i="93"/>
  <c r="G1036" i="93" s="1"/>
  <c r="F1038" i="93"/>
  <c r="H1035" i="93"/>
  <c r="H1031" i="93"/>
  <c r="H1030" i="93"/>
  <c r="H1032" i="93" s="1"/>
  <c r="H1036" i="93" s="1"/>
  <c r="H1051" i="93" s="1"/>
  <c r="I1029" i="93"/>
  <c r="H1037" i="93"/>
  <c r="H81" i="74"/>
  <c r="I73" i="74"/>
  <c r="H74" i="74"/>
  <c r="H75" i="74"/>
  <c r="H76" i="74" s="1"/>
  <c r="H80" i="74" s="1"/>
  <c r="H79" i="74"/>
  <c r="G80" i="74"/>
  <c r="G82" i="74" s="1"/>
  <c r="G94" i="74" s="1"/>
  <c r="E1044" i="93"/>
  <c r="E1045" i="93" s="1"/>
  <c r="F88" i="74"/>
  <c r="E89" i="74"/>
  <c r="B1052" i="93"/>
  <c r="C96" i="74"/>
  <c r="G1051" i="93" l="1"/>
  <c r="G1038" i="93"/>
  <c r="I1037" i="93"/>
  <c r="I1030" i="93"/>
  <c r="I1035" i="93"/>
  <c r="I1031" i="93"/>
  <c r="J1029" i="93"/>
  <c r="H1038" i="93"/>
  <c r="G95" i="74"/>
  <c r="H82" i="74"/>
  <c r="I81" i="74"/>
  <c r="J73" i="74"/>
  <c r="I74" i="74"/>
  <c r="I75" i="74"/>
  <c r="I79" i="74"/>
  <c r="H95" i="74"/>
  <c r="F1044" i="93"/>
  <c r="F1045" i="93" s="1"/>
  <c r="G88" i="74"/>
  <c r="F89" i="74"/>
  <c r="C1052" i="93"/>
  <c r="D96" i="74"/>
  <c r="K1029" i="93" l="1"/>
  <c r="J1037" i="93"/>
  <c r="J1030" i="93"/>
  <c r="J1035" i="93"/>
  <c r="J1031" i="93"/>
  <c r="I1032" i="93"/>
  <c r="I1036" i="93" s="1"/>
  <c r="I1051" i="93" s="1"/>
  <c r="J81" i="74"/>
  <c r="K73" i="74"/>
  <c r="J74" i="74"/>
  <c r="J75" i="74"/>
  <c r="J79" i="74"/>
  <c r="I76" i="74"/>
  <c r="I80" i="74" s="1"/>
  <c r="I95" i="74" s="1"/>
  <c r="H88" i="74"/>
  <c r="G1044" i="93"/>
  <c r="G1045" i="93" s="1"/>
  <c r="G89" i="74"/>
  <c r="D1052" i="93"/>
  <c r="E96" i="74"/>
  <c r="J1032" i="93" l="1"/>
  <c r="K1037" i="93"/>
  <c r="K1030" i="93"/>
  <c r="K1035" i="93"/>
  <c r="K1031" i="93"/>
  <c r="B1057" i="93"/>
  <c r="I1038" i="93"/>
  <c r="I82" i="74"/>
  <c r="I90" i="74" s="1"/>
  <c r="J76" i="74"/>
  <c r="J80" i="74" s="1"/>
  <c r="J95" i="74" s="1"/>
  <c r="B101" i="74"/>
  <c r="K81" i="74"/>
  <c r="K74" i="74"/>
  <c r="K75" i="74"/>
  <c r="K79" i="74"/>
  <c r="H1044" i="93"/>
  <c r="H1045" i="93" s="1"/>
  <c r="I88" i="74"/>
  <c r="H89" i="74"/>
  <c r="E1052" i="93"/>
  <c r="F96" i="74"/>
  <c r="B1059" i="93" l="1"/>
  <c r="B1058" i="93"/>
  <c r="B1065" i="93"/>
  <c r="C1057" i="93"/>
  <c r="B1063" i="93"/>
  <c r="K1032" i="93"/>
  <c r="J1038" i="93"/>
  <c r="K1036" i="93"/>
  <c r="K1051" i="93" s="1"/>
  <c r="J1036" i="93"/>
  <c r="J1051" i="93" s="1"/>
  <c r="B109" i="74"/>
  <c r="C101" i="74"/>
  <c r="B102" i="74"/>
  <c r="B103" i="74"/>
  <c r="B104" i="74" s="1"/>
  <c r="B108" i="74" s="1"/>
  <c r="B107" i="74"/>
  <c r="J82" i="74"/>
  <c r="J90" i="74" s="1"/>
  <c r="K76" i="74"/>
  <c r="K80" i="74" s="1"/>
  <c r="K95" i="74" s="1"/>
  <c r="I1044" i="93"/>
  <c r="I1045" i="93" s="1"/>
  <c r="J88" i="74"/>
  <c r="I89" i="74"/>
  <c r="F1052" i="93"/>
  <c r="G96" i="74"/>
  <c r="K82" i="74" l="1"/>
  <c r="B123" i="74"/>
  <c r="C1059" i="93"/>
  <c r="C1063" i="93"/>
  <c r="C1065" i="93"/>
  <c r="D1057" i="93"/>
  <c r="C1058" i="93"/>
  <c r="C1060" i="93" s="1"/>
  <c r="C1064" i="93" s="1"/>
  <c r="C1079" i="93" s="1"/>
  <c r="B1064" i="93"/>
  <c r="B1079" i="93" s="1"/>
  <c r="B1060" i="93"/>
  <c r="K1038" i="93"/>
  <c r="B110" i="74"/>
  <c r="C109" i="74"/>
  <c r="D101" i="74"/>
  <c r="C102" i="74"/>
  <c r="C103" i="74"/>
  <c r="C107" i="74"/>
  <c r="J1044" i="93"/>
  <c r="J1045" i="93" s="1"/>
  <c r="K88" i="74"/>
  <c r="J89" i="74"/>
  <c r="G1052" i="93"/>
  <c r="H96" i="74"/>
  <c r="D1058" i="93" l="1"/>
  <c r="D1063" i="93"/>
  <c r="D1065" i="93"/>
  <c r="D1059" i="93"/>
  <c r="E1057" i="93"/>
  <c r="C1066" i="93"/>
  <c r="B1066" i="93"/>
  <c r="D109" i="74"/>
  <c r="E101" i="74"/>
  <c r="D102" i="74"/>
  <c r="D103" i="74"/>
  <c r="D104" i="74" s="1"/>
  <c r="D108" i="74" s="1"/>
  <c r="D123" i="74" s="1"/>
  <c r="D107" i="74"/>
  <c r="C104" i="74"/>
  <c r="C108" i="74" s="1"/>
  <c r="C123" i="74" s="1"/>
  <c r="B116" i="74"/>
  <c r="K1044" i="93"/>
  <c r="K1045" i="93" s="1"/>
  <c r="K89" i="74"/>
  <c r="I96" i="74"/>
  <c r="H1052" i="93"/>
  <c r="E1059" i="93" l="1"/>
  <c r="E1065" i="93"/>
  <c r="E1063" i="93"/>
  <c r="F1057" i="93"/>
  <c r="E1058" i="93"/>
  <c r="E1060" i="93" s="1"/>
  <c r="D1060" i="93"/>
  <c r="D1064" i="93"/>
  <c r="D1079" i="93" s="1"/>
  <c r="C110" i="74"/>
  <c r="E109" i="74"/>
  <c r="F101" i="74"/>
  <c r="E102" i="74"/>
  <c r="E103" i="74"/>
  <c r="E107" i="74"/>
  <c r="E1064" i="93"/>
  <c r="E1079" i="93" s="1"/>
  <c r="D110" i="74"/>
  <c r="B1072" i="93"/>
  <c r="B1073" i="93" s="1"/>
  <c r="C116" i="74"/>
  <c r="B117" i="74"/>
  <c r="I1052" i="93"/>
  <c r="J96" i="74"/>
  <c r="D1066" i="93" l="1"/>
  <c r="F1063" i="93"/>
  <c r="F1059" i="93"/>
  <c r="F1058" i="93"/>
  <c r="F1060" i="93" s="1"/>
  <c r="F1064" i="93" s="1"/>
  <c r="F1079" i="93" s="1"/>
  <c r="F1065" i="93"/>
  <c r="F109" i="74"/>
  <c r="F102" i="74"/>
  <c r="F103" i="74"/>
  <c r="F104" i="74" s="1"/>
  <c r="F108" i="74" s="1"/>
  <c r="F123" i="74" s="1"/>
  <c r="F107" i="74"/>
  <c r="E104" i="74"/>
  <c r="E108" i="74" s="1"/>
  <c r="E123" i="74" s="1"/>
  <c r="E1066" i="93"/>
  <c r="C1072" i="93"/>
  <c r="C1073" i="93" s="1"/>
  <c r="D116" i="74"/>
  <c r="C117" i="74"/>
  <c r="J1052" i="93"/>
  <c r="K96" i="74"/>
  <c r="F1066" i="93" l="1"/>
  <c r="E110" i="74"/>
  <c r="F110" i="74"/>
  <c r="D1072" i="93"/>
  <c r="D1073" i="93" s="1"/>
  <c r="E116" i="74"/>
  <c r="D117" i="74"/>
  <c r="K1052" i="93"/>
  <c r="B124" i="74"/>
  <c r="F116" i="74" l="1"/>
  <c r="E1072" i="93"/>
  <c r="E1073" i="93" s="1"/>
  <c r="E117" i="74"/>
  <c r="B1080" i="93"/>
  <c r="C124" i="74"/>
  <c r="F1072" i="93" l="1"/>
  <c r="F1073" i="93" s="1"/>
  <c r="F117" i="74"/>
  <c r="C1080" i="93"/>
  <c r="D124" i="74"/>
  <c r="D1080" i="93" l="1"/>
  <c r="E124" i="74"/>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<sst xmlns="http://schemas.openxmlformats.org/spreadsheetml/2006/main" count="13239" uniqueCount="4832">
  <si>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</si>
  <si>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</si>
  <si>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</si>
  <si>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</si>
  <si>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</si>
  <si>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</si>
  <si>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</si>
  <si>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</si>
  <si>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</si>
  <si>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</si>
  <si>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</si>
  <si>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</si>
  <si>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</si>
  <si>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</si>
  <si>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</si>
  <si>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</si>
  <si>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</si>
  <si>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</si>
  <si>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</si>
  <si>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</si>
  <si>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</si>
  <si>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</si>
  <si>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</si>
  <si>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</si>
  <si>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</si>
  <si>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</si>
  <si>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</si>
  <si>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</si>
  <si>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</si>
  <si>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</si>
  <si>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</si>
  <si>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</si>
  <si>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</si>
  <si>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</si>
  <si>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</si>
  <si>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</si>
  <si>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</si>
  <si>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</si>
  <si>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</si>
  <si>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</si>
  <si>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</si>
  <si>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</si>
  <si>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</si>
  <si>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</si>
  <si>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</si>
  <si>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</si>
  <si>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</si>
  <si>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</si>
  <si>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</si>
  <si>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</si>
  <si>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</si>
  <si>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</si>
  <si>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</si>
  <si>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</si>
  <si>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</si>
  <si>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</si>
  <si>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</si>
  <si>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</si>
  <si>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</si>
  <si>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</si>
  <si>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</si>
  <si>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</si>
  <si>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</si>
  <si>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</si>
  <si>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</si>
  <si>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</si>
  <si>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</si>
  <si>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</si>
  <si>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</si>
  <si>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</si>
  <si>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</si>
  <si>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</si>
  <si>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</si>
  <si>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</si>
  <si>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</si>
  <si>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</si>
  <si>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</si>
  <si>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</si>
  <si>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</si>
  <si>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</si>
  <si>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</si>
  <si>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</si>
  <si>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</si>
  <si>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</si>
  <si>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</si>
  <si>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</si>
  <si>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</si>
  <si>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</si>
  <si>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</si>
  <si>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</si>
  <si>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</si>
  <si>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</si>
  <si>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</si>
  <si>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</si>
  <si>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</si>
  <si>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</si>
  <si>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</si>
  <si>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</si>
  <si>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</si>
  <si>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</si>
  <si>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</si>
  <si>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</si>
  <si>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</si>
  <si>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</si>
  <si>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</si>
  <si>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</si>
  <si>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</si>
  <si>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</si>
  <si>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</si>
  <si>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</si>
  <si>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</si>
  <si>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</si>
  <si>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</si>
  <si>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</si>
  <si>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</si>
  <si>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</si>
  <si>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</si>
  <si>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</si>
  <si>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</si>
  <si>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</si>
  <si>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</si>
  <si>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</si>
  <si>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</si>
  <si>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</si>
  <si>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</si>
  <si>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</si>
  <si>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</si>
  <si>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</si>
  <si>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</si>
  <si>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</si>
  <si>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</si>
  <si>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</si>
  <si>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</si>
  <si>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</si>
  <si>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</si>
  <si>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</si>
  <si>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</si>
  <si>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</si>
  <si>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</si>
  <si>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</si>
  <si>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</si>
  <si>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</si>
  <si>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</si>
  <si>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</si>
  <si>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</si>
  <si>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</si>
  <si>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</si>
  <si>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</si>
  <si>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</si>
  <si>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</si>
  <si>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</si>
  <si>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</si>
  <si>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</si>
  <si>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</si>
  <si>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</si>
  <si>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</si>
  <si>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</si>
  <si>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</si>
  <si>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</si>
  <si>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</si>
  <si>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</si>
  <si>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</si>
  <si>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</si>
  <si>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</si>
  <si>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</si>
  <si>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</si>
  <si>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</si>
  <si>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</si>
  <si>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</si>
  <si>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</si>
  <si>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</si>
  <si>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</si>
  <si>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</si>
  <si>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</si>
  <si>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</si>
  <si>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</si>
  <si>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</si>
  <si>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</si>
  <si>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</si>
  <si>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</si>
  <si>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</si>
  <si>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</si>
  <si>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</si>
  <si>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</si>
  <si>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</si>
  <si>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</si>
  <si>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</si>
  <si>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</si>
  <si>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</si>
  <si>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</si>
  <si>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</si>
  <si>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</si>
  <si>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</si>
  <si>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</si>
  <si>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</si>
  <si>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</si>
  <si>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</si>
  <si>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</si>
  <si>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</si>
  <si>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</si>
  <si>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</si>
  <si>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</si>
  <si>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</si>
  <si>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</si>
  <si>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</si>
  <si>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</si>
  <si>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</si>
  <si>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</si>
  <si>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</si>
  <si>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</si>
  <si>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</si>
  <si>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</si>
  <si>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</si>
  <si>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</si>
  <si>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</si>
  <si>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</si>
  <si>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</si>
  <si>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</si>
  <si>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</si>
  <si>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</si>
  <si>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</si>
  <si>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</si>
  <si>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</si>
  <si>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</si>
  <si>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</si>
  <si>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</si>
  <si>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</si>
  <si>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</si>
  <si>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</si>
  <si>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</si>
  <si>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</si>
  <si>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</si>
  <si>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</si>
  <si>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</si>
  <si>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</si>
  <si>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</si>
  <si>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</si>
  <si>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</si>
  <si>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</si>
  <si>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</si>
  <si>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</si>
  <si>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</si>
  <si>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</si>
  <si>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</si>
  <si>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</si>
  <si>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</si>
  <si>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</si>
  <si>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</si>
  <si>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</si>
  <si>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</si>
  <si>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</si>
  <si>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</si>
  <si>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</si>
  <si>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</si>
  <si>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</si>
  <si>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</si>
  <si>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</si>
  <si>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</si>
  <si>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</si>
  <si>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</si>
  <si>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</si>
  <si>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</si>
  <si>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</si>
  <si>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</si>
  <si>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</si>
  <si>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</si>
  <si>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</si>
  <si>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</si>
  <si>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</si>
  <si>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</si>
  <si>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</si>
  <si>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</si>
  <si>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</si>
  <si>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</si>
  <si>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</si>
  <si>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</si>
  <si>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</si>
  <si>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</si>
  <si>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</si>
  <si>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</si>
  <si>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</si>
  <si>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</si>
  <si>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</si>
  <si>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</si>
  <si>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</si>
  <si>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</si>
  <si>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</si>
  <si>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</si>
  <si>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</si>
  <si>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</si>
  <si>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</si>
  <si>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</si>
  <si>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</si>
  <si>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</si>
  <si>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</si>
  <si>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</si>
  <si>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</si>
  <si>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</si>
  <si>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</si>
  <si>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</si>
  <si>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</si>
  <si>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</si>
  <si>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</si>
  <si>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</si>
  <si>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</si>
  <si>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</si>
  <si>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</si>
  <si>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</si>
  <si>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</si>
  <si>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</si>
  <si>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</si>
  <si>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</si>
  <si>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</si>
  <si>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</si>
  <si>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</si>
  <si>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</si>
  <si>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</si>
  <si>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</si>
  <si>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</si>
  <si>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</si>
  <si>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</si>
  <si>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</si>
  <si>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</si>
  <si>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</si>
  <si>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</si>
  <si>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</si>
  <si>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</si>
  <si>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</si>
  <si>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</si>
  <si>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</si>
  <si>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</si>
  <si>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</si>
  <si>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</si>
  <si>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</si>
  <si>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</si>
  <si>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</si>
  <si>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</si>
  <si>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</si>
  <si>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</si>
  <si>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</si>
  <si>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</si>
  <si>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</si>
  <si>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</si>
  <si>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</si>
  <si>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</si>
  <si>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</si>
  <si>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</si>
  <si>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</si>
  <si>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</si>
  <si>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</si>
  <si>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</si>
  <si>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</si>
  <si>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</si>
  <si>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</si>
  <si>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</si>
  <si>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</si>
  <si>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</si>
  <si>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</si>
  <si>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</si>
  <si>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</si>
  <si>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</si>
  <si>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</si>
  <si>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</si>
  <si>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</si>
  <si>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</si>
  <si>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</si>
  <si>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</si>
  <si>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</si>
  <si>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</si>
  <si>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</si>
  <si>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</si>
  <si>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</si>
  <si>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</si>
  <si>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</si>
  <si>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</si>
  <si>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</si>
  <si>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</si>
  <si>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</si>
  <si>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</si>
  <si>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</si>
  <si>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</si>
  <si>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</si>
  <si>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</si>
  <si>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</si>
  <si>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</si>
  <si>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</si>
  <si>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</si>
  <si>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</si>
  <si>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</si>
  <si>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</si>
  <si>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</si>
  <si>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</si>
  <si>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</si>
  <si>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</si>
  <si>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</si>
  <si>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</si>
  <si>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</si>
  <si>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</si>
  <si>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</si>
  <si>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</si>
  <si>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</si>
  <si>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</si>
  <si>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</si>
  <si>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</si>
  <si>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</si>
  <si>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</si>
  <si>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</si>
  <si>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</si>
  <si>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</si>
  <si>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</si>
  <si>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</si>
  <si>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</si>
  <si>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</si>
  <si>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</si>
  <si>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</si>
  <si>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</si>
  <si>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</si>
  <si>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</si>
  <si>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</si>
  <si>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</si>
  <si>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</si>
  <si>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</si>
  <si>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</si>
  <si>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</si>
  <si>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</si>
  <si>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</si>
  <si>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</si>
  <si>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</si>
  <si>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</si>
  <si>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</si>
  <si>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</si>
  <si>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</si>
  <si>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</si>
  <si>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</si>
  <si>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</si>
  <si>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</si>
  <si>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</si>
  <si>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</si>
  <si>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</si>
  <si>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</si>
  <si>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</si>
  <si>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</si>
  <si>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</si>
  <si>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</si>
  <si>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</si>
  <si>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</si>
  <si>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</si>
  <si>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</si>
  <si>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</si>
  <si>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</si>
  <si>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</si>
  <si>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</si>
  <si>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</si>
  <si>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</si>
  <si>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</si>
  <si>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</si>
  <si>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</si>
  <si>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</si>
  <si>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</si>
  <si>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</si>
  <si>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</si>
  <si>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</si>
  <si>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</si>
  <si>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</si>
  <si>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</si>
  <si>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</si>
  <si>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</si>
  <si>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</si>
  <si>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</si>
  <si>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</si>
  <si>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</si>
  <si>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</si>
  <si>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</si>
  <si>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</si>
  <si>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</si>
  <si>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</si>
  <si>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</si>
  <si>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</si>
  <si>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</si>
  <si>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</si>
  <si>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</si>
  <si>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</si>
  <si>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</si>
  <si>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</si>
  <si>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</si>
  <si>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</si>
  <si>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</si>
  <si>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</si>
  <si>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</si>
  <si>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</si>
  <si>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</si>
  <si>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</si>
  <si>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</si>
  <si>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</si>
  <si>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</si>
  <si>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</si>
  <si>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</si>
  <si>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</si>
  <si>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</si>
  <si>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</si>
  <si>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</si>
  <si>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</si>
  <si>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</si>
  <si>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</si>
  <si>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</si>
  <si>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</si>
  <si>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</si>
  <si>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</si>
  <si>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</si>
  <si>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</si>
  <si>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</si>
  <si>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</si>
  <si>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</si>
  <si>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</si>
  <si>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</si>
  <si>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</si>
  <si>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</si>
  <si>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</si>
  <si>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</si>
  <si>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</si>
  <si>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</si>
  <si>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</si>
  <si>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</si>
  <si>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</si>
  <si>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</si>
  <si>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</si>
  <si>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</si>
  <si>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</si>
  <si>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</si>
  <si>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</si>
  <si>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</si>
  <si>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</si>
  <si>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</si>
  <si>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</si>
  <si>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</si>
  <si>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</si>
  <si>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</si>
  <si>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</si>
  <si>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</si>
  <si>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</si>
  <si>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</si>
  <si>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</si>
  <si>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</si>
  <si>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</si>
  <si>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</si>
  <si>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</si>
  <si>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</si>
  <si>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</si>
  <si>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</si>
  <si>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</si>
  <si>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</si>
  <si>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</si>
  <si>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</si>
  <si>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</si>
  <si>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</si>
  <si>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</si>
  <si>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</si>
  <si>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</si>
  <si>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</si>
  <si>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</si>
  <si>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</si>
  <si>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</si>
  <si>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</si>
  <si>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</si>
  <si>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</si>
  <si>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</si>
  <si>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</si>
  <si>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</si>
  <si>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</si>
  <si>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</si>
  <si>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</si>
  <si>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</si>
  <si>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</si>
  <si>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</si>
  <si>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</si>
  <si>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</si>
  <si>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</si>
  <si>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</si>
  <si>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</si>
  <si>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</si>
  <si>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</si>
  <si>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</si>
  <si>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</si>
  <si>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</si>
  <si>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</si>
  <si>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</si>
  <si>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</si>
  <si>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</si>
  <si>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</si>
  <si>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</si>
  <si>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</si>
  <si>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</si>
  <si>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</si>
  <si>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</si>
  <si>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</si>
  <si>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</si>
  <si>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</si>
  <si>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</si>
  <si>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</si>
  <si>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</si>
  <si>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</si>
  <si>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</si>
  <si>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</si>
  <si>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</si>
  <si>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</si>
  <si>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</si>
  <si>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</si>
  <si>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</si>
  <si>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</si>
  <si>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</si>
  <si>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</si>
  <si>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</si>
  <si>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</si>
  <si>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</si>
  <si>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</si>
  <si>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</si>
  <si>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</si>
  <si>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</si>
  <si>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</si>
  <si>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</si>
  <si>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</si>
  <si>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</si>
  <si>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</si>
  <si>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</si>
  <si>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</si>
  <si>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</si>
  <si>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</si>
  <si>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</si>
  <si>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</si>
  <si>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</si>
  <si>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</si>
  <si>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</si>
  <si>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</si>
  <si>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</si>
  <si>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</si>
  <si>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</si>
  <si>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</si>
  <si>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</si>
  <si>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</si>
  <si>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</si>
  <si>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</si>
  <si>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</si>
  <si>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</si>
  <si>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</si>
  <si>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</si>
  <si>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</si>
  <si>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</si>
  <si>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</si>
  <si>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</si>
  <si>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</si>
  <si>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</si>
  <si>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</si>
  <si>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</si>
  <si>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</si>
  <si>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</si>
  <si>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</si>
  <si>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</si>
  <si>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</si>
  <si>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</si>
  <si>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</si>
  <si>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</si>
  <si>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</si>
  <si>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</si>
  <si>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</si>
  <si>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</si>
  <si>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</si>
  <si>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</si>
  <si>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</si>
  <si>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</si>
  <si>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</si>
  <si>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</si>
  <si>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</si>
  <si>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</si>
  <si>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</si>
  <si>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</si>
  <si>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</si>
  <si>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</si>
  <si>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</si>
  <si>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</si>
  <si>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</si>
  <si>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</si>
  <si>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</si>
  <si>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</si>
  <si>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</si>
  <si>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</si>
  <si>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</si>
  <si>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</si>
  <si>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</si>
  <si>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</si>
  <si>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</si>
  <si>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</si>
  <si>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</si>
  <si>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</si>
  <si>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</si>
  <si>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</si>
  <si>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</si>
  <si>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</si>
  <si>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</si>
  <si>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</si>
  <si>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</si>
  <si>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</si>
  <si>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</si>
  <si>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</si>
  <si>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</si>
  <si>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</si>
  <si>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</si>
  <si>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</si>
  <si>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</si>
  <si>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</si>
  <si>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</si>
  <si>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</si>
  <si>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</si>
  <si>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</si>
  <si>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</si>
  <si>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</si>
  <si>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</si>
  <si>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</si>
  <si>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</si>
  <si>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</si>
  <si>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</si>
  <si>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</si>
  <si>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</si>
  <si>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</si>
  <si>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</si>
  <si>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</si>
  <si>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</si>
  <si>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</si>
  <si>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</si>
  <si>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</si>
  <si>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</si>
  <si>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</si>
  <si>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</si>
  <si>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</si>
  <si>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</si>
  <si>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</si>
  <si>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</si>
  <si>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</si>
  <si>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</si>
  <si>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</si>
  <si>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</si>
  <si>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</si>
  <si>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</si>
  <si>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</si>
  <si>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</si>
  <si>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</si>
  <si>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</si>
  <si>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</si>
  <si>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</si>
  <si>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</si>
  <si>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</si>
  <si>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</si>
  <si>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</si>
  <si>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</si>
  <si>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</si>
  <si>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</si>
  <si>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</si>
  <si>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</si>
  <si>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</si>
  <si>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</si>
  <si>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</si>
  <si>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</si>
  <si>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</si>
  <si>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</si>
  <si>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</si>
  <si>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</si>
  <si>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</si>
  <si>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</si>
  <si>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</si>
  <si>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</si>
  <si>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</si>
  <si>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</si>
  <si>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</si>
  <si>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</si>
  <si>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</si>
  <si>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</si>
  <si>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</si>
  <si>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</si>
  <si>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</si>
  <si>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</si>
  <si>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</si>
  <si>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</si>
  <si>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</si>
  <si>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</si>
  <si>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</si>
  <si>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</si>
  <si>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</si>
  <si>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</si>
  <si>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</si>
  <si>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</si>
  <si>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</si>
  <si>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</si>
  <si>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</si>
  <si>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</si>
  <si>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</si>
  <si>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</si>
  <si>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</si>
  <si>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</si>
  <si>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</si>
  <si>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</si>
  <si>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</si>
  <si>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</si>
  <si>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</si>
  <si>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</si>
  <si>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</si>
  <si>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</si>
  <si>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</si>
  <si>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</si>
  <si>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</si>
  <si>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</si>
  <si>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</si>
  <si>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</si>
  <si>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</si>
  <si>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</si>
  <si>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</si>
  <si>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</si>
  <si>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</si>
  <si>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</si>
  <si>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</si>
  <si>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</si>
  <si>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</si>
  <si>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</si>
  <si>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</si>
  <si>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</si>
  <si>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</si>
  <si>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</si>
  <si>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</si>
  <si>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</si>
  <si>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</si>
  <si>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</si>
  <si>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</si>
  <si>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</si>
  <si>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</si>
  <si>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</si>
  <si>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</si>
  <si>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</si>
  <si>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</si>
  <si>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</si>
  <si>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</si>
  <si>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</si>
  <si>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</si>
  <si>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</si>
  <si>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</si>
  <si>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</si>
  <si>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</si>
  <si>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</si>
  <si>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</si>
  <si>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</si>
  <si>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</si>
  <si>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</si>
  <si>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</si>
  <si>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</si>
  <si>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</si>
  <si>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</si>
  <si>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</si>
  <si>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</si>
  <si>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</si>
  <si>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</si>
  <si>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</si>
  <si>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</si>
  <si>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</si>
  <si>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</si>
  <si>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</si>
  <si>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</si>
  <si>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</si>
  <si>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</si>
  <si>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</si>
  <si>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</si>
  <si>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</si>
  <si>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</si>
  <si>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</si>
  <si>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</si>
  <si>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</si>
  <si>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</si>
  <si>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</si>
  <si>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</si>
  <si>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</si>
  <si>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</si>
  <si>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</si>
  <si>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</si>
  <si>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</si>
  <si>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</si>
  <si>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</si>
  <si>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</si>
  <si>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</si>
  <si>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</si>
  <si>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</si>
  <si>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</si>
  <si>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</si>
  <si>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</si>
  <si>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</si>
  <si>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</si>
  <si>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</si>
  <si>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</si>
  <si>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</si>
  <si>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</si>
  <si>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</si>
  <si>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</si>
  <si>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</si>
  <si>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</si>
  <si>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</si>
  <si>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</si>
  <si>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</si>
  <si>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</si>
  <si>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</si>
  <si>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</si>
  <si>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</si>
  <si>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</si>
  <si>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</si>
  <si>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</si>
  <si>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</si>
  <si>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</si>
  <si>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</si>
  <si>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</si>
  <si>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</si>
  <si>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</si>
  <si>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</si>
  <si>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</si>
  <si>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</si>
  <si>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</si>
  <si>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</si>
  <si>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</si>
  <si>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</si>
  <si>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</si>
  <si>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</si>
  <si>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</si>
  <si>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</si>
  <si>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</si>
  <si>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</si>
  <si>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</si>
  <si>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</si>
  <si>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</si>
  <si>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</si>
  <si>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</si>
  <si>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</si>
  <si>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</si>
  <si>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</si>
  <si>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</si>
  <si>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</si>
  <si>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</si>
  <si>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</si>
  <si>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</si>
  <si>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</si>
  <si>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</si>
  <si>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</si>
  <si>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</si>
  <si>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</si>
  <si>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</si>
  <si>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</si>
  <si>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</si>
  <si>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</si>
  <si>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</si>
  <si>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</si>
  <si>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</si>
  <si>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</si>
  <si>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</si>
  <si>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</si>
  <si>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</si>
  <si>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</si>
  <si>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</si>
  <si>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</si>
  <si>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</si>
  <si>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</si>
  <si>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</si>
  <si>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</si>
  <si>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</si>
  <si>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</si>
  <si>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</si>
  <si>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</si>
  <si>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</si>
  <si>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</si>
  <si>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</si>
  <si>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</si>
  <si>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</si>
  <si>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</si>
  <si>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</si>
  <si>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</si>
  <si>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</si>
  <si>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</si>
  <si>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</si>
  <si>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</si>
  <si>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</si>
  <si>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</si>
  <si>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</si>
  <si>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</si>
  <si>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</si>
  <si>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</si>
  <si>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</si>
  <si>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</si>
  <si>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</si>
  <si>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</si>
  <si>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</si>
  <si>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</si>
  <si>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</si>
  <si>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</si>
  <si>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</si>
  <si>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</si>
  <si>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</si>
  <si>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</si>
  <si>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</si>
  <si>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</si>
  <si>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</si>
  <si>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</si>
  <si>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</si>
  <si>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</si>
  <si>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</si>
  <si>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</si>
  <si>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</si>
  <si>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</si>
  <si>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</si>
  <si>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</si>
  <si>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</si>
  <si>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</si>
  <si>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</si>
  <si>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</si>
  <si>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</si>
  <si>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</si>
  <si>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</si>
  <si>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</si>
  <si>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</si>
  <si>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</si>
  <si>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</si>
  <si>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</si>
  <si>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</si>
  <si>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</si>
  <si>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</si>
  <si>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</si>
  <si>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</si>
  <si>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</si>
  <si>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</si>
  <si>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</si>
  <si>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</si>
  <si>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</si>
  <si>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</si>
  <si>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</si>
  <si>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</si>
  <si>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</si>
  <si>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</si>
  <si>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</si>
  <si>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</si>
  <si>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</si>
  <si>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</si>
  <si>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</si>
  <si>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</si>
  <si>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</si>
  <si>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</si>
  <si>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</si>
  <si>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</si>
  <si>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</si>
  <si>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</si>
  <si>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</si>
  <si>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</si>
  <si>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</si>
  <si>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</si>
  <si>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</si>
  <si>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</si>
  <si>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</si>
  <si>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</si>
  <si>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</si>
  <si>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</si>
  <si>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</si>
  <si>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</si>
  <si>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</si>
  <si>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</si>
  <si>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</si>
  <si>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</si>
  <si>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</si>
  <si>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</si>
  <si>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</si>
  <si>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</si>
  <si>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</si>
  <si>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</si>
  <si>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</si>
  <si>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</si>
  <si>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</si>
  <si>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</si>
  <si>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</si>
  <si>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</si>
  <si>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</si>
  <si>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</si>
  <si>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</si>
  <si>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</si>
  <si>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</si>
  <si>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</si>
  <si>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</si>
  <si>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</si>
  <si>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</si>
  <si>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</si>
  <si>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</si>
  <si>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</si>
  <si>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</si>
  <si>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</si>
  <si>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</si>
  <si>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</si>
  <si>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</si>
  <si>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</si>
  <si>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</si>
  <si>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</si>
  <si>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</si>
  <si>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</si>
  <si>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</si>
  <si>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</si>
  <si>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</si>
  <si>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</si>
  <si>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</si>
  <si>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</si>
  <si>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</si>
  <si>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</si>
  <si>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</si>
  <si>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</si>
  <si>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</si>
  <si>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</si>
  <si>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</si>
  <si>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</si>
  <si>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</si>
  <si>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</si>
  <si>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</si>
  <si>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</si>
  <si>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</si>
  <si>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</si>
  <si>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</si>
  <si>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</si>
  <si>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</si>
  <si>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</si>
  <si>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</si>
  <si>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</si>
  <si>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</si>
  <si>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</si>
  <si>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</si>
  <si>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</si>
  <si>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</si>
  <si>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</si>
  <si>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</si>
  <si>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</si>
  <si>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</si>
  <si>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</si>
  <si>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</si>
  <si>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</si>
  <si>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</si>
  <si>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</si>
  <si>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</si>
  <si>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</si>
  <si>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</si>
  <si>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</si>
  <si>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</si>
  <si>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</si>
  <si>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</si>
  <si>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</si>
  <si>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</si>
  <si>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</si>
  <si>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</si>
  <si>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</si>
  <si>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</si>
  <si>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</si>
  <si>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</si>
  <si>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</si>
  <si>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</si>
  <si>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</si>
  <si>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</si>
  <si>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</si>
  <si>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</si>
  <si>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</si>
  <si>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</si>
  <si>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</si>
  <si>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</si>
  <si>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</si>
  <si>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</si>
  <si>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</si>
  <si>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</si>
  <si>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</si>
  <si>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</si>
  <si>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</si>
  <si>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</si>
  <si>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</si>
  <si>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</si>
  <si>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</si>
  <si>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</si>
  <si>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</si>
  <si>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</si>
  <si>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</si>
  <si>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</si>
  <si>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</si>
  <si>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</si>
  <si>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</si>
  <si>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</si>
  <si>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</si>
  <si>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</si>
  <si>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</si>
  <si>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</si>
  <si>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</si>
  <si>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</si>
  <si>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</si>
  <si>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</si>
  <si>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</si>
  <si>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</si>
  <si>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</si>
  <si>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</si>
  <si>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</si>
  <si>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</si>
  <si>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</si>
  <si>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</si>
  <si>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</si>
  <si>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</si>
  <si>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</si>
  <si>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</si>
  <si>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</si>
  <si>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</si>
  <si>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</si>
  <si>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</si>
  <si>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</si>
  <si>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</si>
  <si>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</si>
  <si>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</si>
  <si>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</si>
  <si>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</si>
  <si>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</si>
  <si>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</si>
  <si>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</si>
  <si>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</si>
  <si>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</si>
  <si>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</si>
  <si>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</si>
  <si>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</si>
  <si>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</si>
  <si>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</si>
  <si>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</si>
  <si>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</si>
  <si>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</si>
  <si>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</si>
  <si>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</si>
  <si>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</si>
  <si>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</si>
  <si>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</si>
  <si>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</si>
  <si>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</si>
  <si>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</si>
  <si>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</si>
  <si>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</si>
  <si>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</si>
  <si>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</si>
  <si>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</si>
  <si>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</si>
  <si>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</si>
  <si>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</si>
  <si>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</si>
  <si>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</si>
  <si>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</si>
  <si>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</si>
  <si>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</si>
  <si>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</si>
  <si>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</si>
  <si>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</si>
  <si>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</si>
  <si>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</si>
  <si>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</si>
  <si>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</si>
  <si>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</si>
  <si>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</si>
  <si>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</si>
  <si>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</si>
  <si>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</si>
  <si>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</si>
  <si>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</si>
  <si>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</si>
  <si>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</si>
  <si>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</si>
  <si>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</si>
  <si>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</si>
  <si>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</si>
  <si>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</si>
  <si>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</si>
  <si>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</si>
  <si>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</si>
  <si>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</si>
  <si>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</si>
  <si>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</si>
  <si>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</si>
  <si>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</si>
  <si>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</si>
  <si>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</si>
  <si>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</si>
  <si>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</si>
  <si>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</si>
  <si>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</si>
  <si>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</si>
  <si>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</si>
  <si>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</si>
  <si>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</si>
  <si>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</si>
  <si>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</si>
  <si>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</si>
  <si>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</si>
  <si>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</si>
  <si>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</si>
  <si>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</si>
  <si>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</si>
  <si>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</si>
  <si>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</si>
  <si>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</si>
  <si>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</si>
  <si>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</si>
  <si>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</si>
  <si>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</si>
  <si>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</si>
  <si>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</si>
  <si>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</si>
  <si>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</si>
  <si>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</si>
  <si>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</si>
  <si>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</si>
  <si>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</si>
  <si>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</si>
  <si>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</si>
  <si>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</si>
  <si>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</si>
  <si>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</si>
  <si>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</si>
  <si>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</si>
  <si>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</si>
  <si>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</si>
  <si>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</si>
  <si>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</si>
  <si>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</si>
  <si>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</si>
  <si>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</si>
  <si>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</si>
  <si>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</si>
  <si>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</si>
  <si>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</si>
  <si>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</si>
  <si>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</si>
  <si>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</si>
  <si>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</si>
  <si>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</si>
  <si>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</si>
  <si>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</si>
  <si>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</si>
  <si>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</si>
  <si>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</si>
  <si>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</si>
  <si>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</si>
  <si>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</si>
  <si>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</si>
  <si>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</si>
  <si>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</si>
  <si>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</si>
  <si>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</si>
  <si>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</si>
  <si>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</si>
  <si>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</si>
  <si>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</si>
  <si>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</si>
  <si>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</si>
  <si>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</si>
  <si>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</si>
  <si>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</si>
  <si>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</si>
  <si>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</si>
  <si>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</si>
  <si>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</si>
  <si>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</si>
  <si>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</si>
  <si>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</si>
  <si>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</si>
  <si>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</si>
  <si>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</si>
  <si>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</si>
  <si>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</si>
  <si>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</si>
  <si>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</si>
  <si>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</si>
  <si>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</si>
  <si>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</si>
  <si>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</si>
  <si>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</si>
  <si>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</si>
  <si>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</si>
  <si>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</si>
  <si>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</si>
  <si>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</si>
  <si>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</si>
  <si>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</si>
  <si>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</si>
  <si>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</si>
  <si>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</si>
  <si>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</si>
  <si>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</si>
  <si>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</si>
  <si>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</si>
  <si>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</si>
  <si>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</si>
  <si>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</si>
  <si>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</si>
  <si>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</si>
  <si>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</si>
  <si>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</si>
  <si>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</si>
  <si>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</si>
  <si>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</si>
  <si>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</si>
  <si>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</si>
  <si>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</si>
  <si>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</si>
  <si>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</si>
  <si>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</si>
  <si>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</si>
  <si>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</si>
  <si>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</si>
  <si>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</si>
  <si>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</si>
  <si>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</si>
  <si>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</si>
  <si>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</si>
  <si>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</si>
  <si>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</si>
  <si>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</si>
  <si>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</si>
  <si>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</si>
  <si>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</si>
  <si>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</si>
  <si>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</si>
  <si>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</si>
  <si>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</si>
  <si>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</si>
  <si>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</si>
  <si>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</si>
  <si>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</si>
  <si>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</si>
  <si>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</si>
  <si>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</si>
  <si>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</si>
  <si>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</si>
  <si>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</si>
  <si>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</si>
  <si>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</si>
  <si>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</si>
  <si>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</si>
  <si>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</si>
  <si>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</si>
  <si>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</si>
  <si>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</si>
  <si>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</si>
  <si>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</si>
  <si>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</si>
  <si>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</si>
  <si>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</si>
  <si>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</si>
  <si>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</si>
  <si>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</si>
  <si>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</si>
  <si>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</si>
  <si>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</si>
  <si>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</si>
  <si>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</si>
  <si>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</si>
  <si>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</si>
  <si>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</si>
  <si>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</si>
  <si>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</si>
  <si>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</si>
  <si>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</si>
  <si>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</si>
  <si>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</si>
  <si>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</si>
  <si>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</si>
  <si>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</si>
  <si>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</si>
  <si>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</si>
  <si>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</si>
  <si>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</si>
  <si>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</si>
  <si>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</si>
  <si>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</si>
  <si>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</si>
  <si>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</si>
  <si>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</si>
  <si>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</si>
  <si>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</si>
  <si>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</si>
  <si>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</si>
  <si>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</si>
  <si>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</si>
  <si>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</si>
  <si>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</si>
  <si>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</si>
  <si>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</si>
  <si>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</si>
  <si>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</si>
  <si>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</si>
  <si>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</si>
  <si>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</si>
  <si>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</si>
  <si>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</si>
  <si>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</si>
  <si>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</si>
  <si>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</si>
  <si>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</si>
  <si>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</si>
  <si>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</si>
  <si>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</si>
  <si>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</si>
  <si>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</si>
  <si>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</si>
  <si>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</si>
  <si>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</si>
  <si>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</si>
  <si>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</si>
  <si>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</si>
  <si>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</si>
  <si>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</si>
  <si>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</si>
  <si>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</si>
  <si>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</si>
  <si>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</si>
  <si>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</si>
  <si>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</si>
  <si>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</si>
  <si>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</si>
  <si>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</si>
  <si>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</si>
  <si>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</si>
  <si>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</si>
  <si>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</si>
  <si>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</si>
  <si>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</si>
  <si>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</si>
  <si>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</si>
  <si>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</si>
  <si>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</si>
  <si>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</si>
  <si>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</si>
  <si>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</si>
  <si>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</si>
  <si>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</si>
  <si>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</si>
  <si>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</si>
  <si>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</si>
  <si>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</si>
  <si>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</si>
  <si>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</si>
  <si>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</si>
  <si>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</si>
  <si>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</si>
  <si>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</si>
  <si>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</si>
  <si>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</si>
  <si>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</si>
  <si>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</si>
  <si>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</si>
  <si>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</si>
  <si>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</si>
  <si>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</si>
  <si>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</si>
  <si>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</si>
  <si>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</si>
  <si>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</si>
  <si>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</si>
  <si>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</si>
  <si>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</si>
  <si>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</si>
  <si>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</si>
  <si>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</si>
  <si>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</si>
  <si>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</si>
  <si>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</si>
  <si>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</si>
  <si>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</si>
  <si>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</si>
  <si>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</si>
  <si>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</si>
  <si>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</si>
  <si>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</si>
  <si>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</si>
  <si>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</si>
  <si>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</si>
  <si>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</si>
  <si>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</si>
  <si>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</si>
  <si>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</si>
  <si>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</si>
  <si>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</si>
  <si>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</si>
  <si>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</si>
  <si>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</si>
  <si>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</si>
  <si>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</si>
  <si>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</si>
  <si>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</si>
  <si>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</si>
  <si>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</si>
  <si>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</si>
  <si>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</si>
  <si>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</si>
  <si>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</si>
  <si>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</si>
  <si>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</si>
  <si>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</si>
  <si>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</si>
  <si>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</si>
  <si>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</si>
  <si>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</si>
  <si>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</si>
  <si>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</si>
  <si>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</si>
  <si>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</si>
  <si>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</si>
  <si>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</si>
  <si>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</si>
  <si>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</si>
  <si>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</si>
  <si>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</si>
  <si>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</si>
  <si>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</si>
  <si>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</si>
  <si>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</si>
  <si>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</si>
  <si>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</si>
  <si>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</si>
  <si>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</si>
  <si>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</si>
  <si>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</si>
  <si>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</si>
  <si>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</si>
  <si>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</si>
  <si>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</si>
  <si>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</si>
  <si>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</si>
  <si>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</si>
  <si>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</si>
  <si>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</si>
  <si>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</si>
  <si>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</si>
  <si>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</si>
  <si>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</si>
  <si>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</si>
  <si>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</si>
  <si>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</si>
  <si>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</si>
  <si>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</si>
  <si>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</si>
  <si>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</si>
  <si>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</si>
  <si>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</si>
  <si>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</si>
  <si>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</si>
  <si>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</si>
  <si>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</si>
  <si>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</si>
  <si>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</si>
  <si>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</si>
  <si>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</si>
  <si>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</si>
  <si>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</si>
  <si>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</si>
  <si>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</si>
  <si>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</si>
  <si>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</si>
  <si>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</si>
  <si>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</si>
  <si>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</si>
  <si>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</si>
  <si>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</si>
  <si>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</si>
  <si>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</si>
  <si>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</si>
  <si>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</si>
  <si>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</si>
  <si>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</si>
  <si>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</si>
  <si>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</si>
  <si>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</si>
  <si>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</si>
  <si>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</si>
  <si>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</si>
  <si>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</si>
  <si>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</si>
  <si>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</si>
  <si>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</si>
  <si>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</si>
  <si>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</si>
  <si>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</si>
  <si>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</si>
  <si>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</si>
  <si>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</si>
  <si>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</si>
  <si>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</si>
  <si>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</si>
  <si>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</si>
  <si>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</si>
  <si>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</si>
  <si>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</si>
  <si>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</si>
  <si>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</si>
  <si>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</si>
  <si>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</si>
  <si>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</si>
  <si>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</si>
  <si>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</si>
  <si>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</si>
  <si>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</si>
  <si>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</si>
  <si>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</si>
  <si>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</si>
  <si>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</si>
  <si>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</si>
  <si>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</si>
  <si>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</si>
  <si>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</si>
  <si>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</si>
  <si>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</si>
  <si>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</si>
  <si>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</si>
  <si>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</si>
  <si>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</si>
  <si>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</si>
  <si>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</si>
  <si>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</si>
  <si>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</si>
  <si>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</si>
  <si>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</si>
  <si>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</si>
  <si>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</si>
  <si>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</si>
  <si>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</si>
  <si>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</si>
  <si>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</si>
  <si>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</si>
  <si>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</si>
  <si>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</si>
  <si>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</si>
  <si>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</si>
  <si>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</si>
  <si>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</si>
  <si>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</si>
  <si>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</si>
  <si>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</si>
  <si>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</si>
  <si>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</si>
  <si>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</si>
  <si>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</si>
  <si>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</si>
  <si>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</si>
  <si>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</si>
  <si>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</si>
  <si>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</si>
  <si>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</si>
  <si>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</si>
  <si>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</si>
  <si>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</si>
  <si>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</si>
  <si>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</si>
  <si>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</si>
  <si>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</si>
  <si>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</si>
  <si>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</si>
  <si>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</si>
  <si>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</si>
  <si>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</si>
  <si>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</si>
  <si>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</si>
  <si>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</si>
  <si>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</si>
  <si>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</si>
  <si>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</si>
  <si>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</si>
  <si>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</si>
  <si>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</si>
  <si>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</si>
  <si>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</si>
  <si>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</si>
  <si>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</si>
  <si>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</si>
  <si>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</si>
  <si>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</si>
  <si>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</si>
  <si>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</si>
  <si>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</si>
  <si>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</si>
  <si>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</si>
  <si>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</si>
  <si>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</si>
  <si>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</si>
  <si>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</si>
  <si>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</si>
  <si>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</si>
  <si>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</si>
  <si>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</si>
  <si>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</si>
  <si>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</si>
  <si>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</si>
  <si>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</si>
  <si>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</si>
  <si>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</si>
  <si>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</si>
  <si>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</si>
  <si>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</si>
  <si>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</si>
  <si>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</si>
  <si>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</si>
  <si>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</si>
  <si>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</si>
  <si>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</si>
  <si>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</si>
  <si>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</si>
  <si>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</si>
  <si>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</si>
  <si>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</si>
  <si>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</si>
  <si>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</si>
  <si>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</si>
  <si>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</si>
  <si>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</si>
  <si>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</si>
  <si>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</si>
  <si>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</si>
  <si>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</si>
  <si>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</si>
  <si>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</si>
  <si>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</si>
  <si>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</si>
  <si>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</si>
  <si>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</si>
  <si>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</si>
  <si>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</si>
  <si>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</si>
  <si>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</si>
  <si>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</si>
  <si>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</si>
  <si>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</si>
  <si>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</si>
  <si>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</si>
  <si>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</si>
  <si>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</si>
  <si>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</si>
  <si>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</si>
  <si>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</si>
  <si>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</si>
  <si>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</si>
  <si>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</si>
  <si>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</si>
  <si>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</si>
  <si>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</si>
  <si>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</si>
  <si>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</si>
  <si>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</si>
  <si>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</si>
  <si>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</si>
  <si>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</si>
  <si>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</si>
  <si>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</si>
  <si>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</si>
  <si>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</si>
  <si>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</si>
  <si>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</si>
  <si>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</si>
  <si>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</si>
  <si>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</si>
  <si>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</si>
  <si>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</si>
  <si>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</si>
  <si>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</si>
  <si>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</si>
  <si>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</si>
  <si>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</si>
  <si>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</si>
  <si>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</si>
  <si>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</si>
  <si>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</si>
  <si>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</si>
  <si>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</si>
  <si>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</si>
  <si>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</si>
  <si>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</si>
  <si>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</si>
  <si>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</si>
  <si>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</si>
  <si>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</si>
  <si>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</si>
  <si>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</si>
  <si>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</si>
  <si>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</si>
  <si>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</si>
  <si>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</si>
  <si>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</si>
  <si>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</si>
  <si>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</si>
  <si>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</si>
  <si>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</si>
  <si>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</si>
  <si>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</si>
  <si>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</si>
  <si>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</si>
  <si>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</si>
  <si>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</si>
  <si>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</si>
  <si>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</si>
  <si>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</si>
  <si>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</si>
  <si>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</si>
  <si>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</si>
  <si>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</si>
  <si>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</si>
  <si>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</si>
  <si>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</si>
  <si>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</si>
  <si>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</si>
  <si>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</si>
  <si>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</si>
  <si>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</si>
  <si>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</si>
  <si>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</si>
  <si>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</si>
  <si>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</si>
  <si>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</si>
  <si>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</si>
  <si>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</si>
  <si>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</si>
  <si>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</si>
  <si>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</si>
  <si>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</si>
  <si>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</si>
  <si>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</si>
  <si>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</si>
  <si>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</si>
  <si>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</si>
  <si>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</si>
  <si>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</si>
  <si>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</si>
  <si>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</si>
  <si>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</si>
  <si>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</si>
  <si>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</si>
  <si>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</si>
  <si>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</si>
  <si>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</si>
  <si>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</si>
  <si>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</si>
  <si>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</si>
  <si>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</si>
  <si>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</si>
  <si>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</si>
  <si>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</si>
  <si>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</si>
  <si>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</si>
  <si>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</si>
  <si>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</si>
  <si>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</si>
  <si>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</si>
  <si>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</si>
  <si>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</si>
  <si>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</si>
  <si>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</si>
  <si>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</si>
  <si>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</si>
  <si>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</si>
  <si>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</si>
  <si>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</si>
  <si>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</si>
  <si>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</si>
  <si>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</si>
  <si>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</si>
  <si>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</si>
  <si>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</si>
  <si>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</si>
  <si>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</si>
  <si>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</si>
  <si>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</si>
  <si>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</si>
  <si>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</si>
  <si>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</si>
  <si>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</si>
  <si>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</si>
  <si>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</si>
  <si>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</si>
  <si>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</si>
  <si>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</si>
  <si>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</si>
  <si>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</si>
  <si>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</si>
  <si>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</si>
  <si>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</si>
  <si>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</si>
  <si>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</si>
  <si>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</si>
  <si>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</si>
  <si>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</si>
  <si>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</si>
  <si>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</si>
  <si>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</si>
  <si>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</si>
  <si>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</si>
  <si>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</si>
  <si>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</si>
  <si>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</si>
  <si>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</si>
  <si>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</si>
  <si>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</si>
  <si>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</si>
  <si>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</si>
  <si>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</si>
  <si>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</si>
  <si>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</si>
  <si>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</si>
  <si>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</si>
  <si>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</si>
  <si>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</si>
  <si>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</si>
  <si>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</si>
  <si>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</si>
  <si>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</si>
  <si>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</si>
  <si>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</si>
  <si>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</si>
  <si>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</si>
  <si>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</si>
  <si>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</si>
  <si>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</si>
  <si>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</si>
  <si>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</si>
  <si>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</si>
  <si>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</si>
  <si>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</si>
  <si>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</si>
  <si>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</si>
  <si>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</si>
  <si>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</si>
  <si>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</si>
  <si>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</si>
  <si>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</si>
  <si>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</si>
  <si>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</si>
  <si>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</si>
  <si>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</si>
  <si>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</si>
  <si>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</si>
  <si>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</si>
  <si>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</si>
  <si>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</si>
  <si>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</si>
  <si>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</si>
  <si>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</si>
  <si>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</si>
  <si>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</si>
  <si>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</si>
  <si>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</si>
  <si>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</si>
  <si>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</si>
  <si>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</si>
  <si>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</si>
  <si>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</si>
  <si>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</si>
  <si>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</si>
  <si>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</si>
  <si>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</si>
  <si>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</si>
  <si>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</si>
  <si>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</si>
  <si>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</si>
  <si>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</si>
  <si>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</si>
  <si>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</si>
  <si>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</si>
  <si>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</si>
  <si>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</si>
  <si>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</si>
  <si>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</si>
  <si>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</si>
  <si>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</si>
  <si>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</si>
  <si>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</si>
  <si>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</si>
  <si>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</si>
  <si>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</si>
  <si>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</si>
  <si>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</si>
  <si>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</si>
  <si>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</si>
  <si>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</si>
  <si>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</si>
  <si>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</si>
  <si>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</si>
  <si>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</si>
  <si>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</si>
  <si>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</si>
  <si>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</si>
  <si>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</si>
  <si>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</si>
  <si>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</si>
  <si>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</si>
  <si>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</si>
  <si>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</si>
  <si>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</si>
  <si>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</si>
  <si>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</si>
  <si>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</si>
  <si>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</si>
  <si>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</si>
  <si>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</si>
  <si>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</si>
  <si>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</si>
  <si>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</si>
  <si>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</si>
  <si>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</si>
  <si>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</si>
  <si>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</si>
  <si>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</si>
  <si>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</si>
  <si>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</si>
  <si>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</si>
  <si>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</si>
  <si>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</si>
  <si>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</si>
  <si>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</si>
  <si>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</si>
  <si>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</si>
  <si>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</si>
  <si>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</si>
  <si>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</si>
  <si>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</si>
  <si>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</si>
  <si>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</si>
  <si>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</si>
  <si>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</si>
  <si>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</si>
  <si>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</si>
  <si>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</si>
  <si>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</si>
  <si>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</si>
  <si>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</si>
  <si>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</si>
  <si>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</si>
  <si>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</si>
  <si>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</si>
  <si>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</si>
  <si>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</si>
  <si>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</si>
  <si>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</si>
  <si>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</si>
  <si>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</si>
  <si>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</si>
  <si>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</si>
  <si>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</si>
  <si>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</si>
  <si>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</si>
  <si>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</si>
  <si>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</si>
  <si>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</si>
  <si>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</si>
  <si>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</si>
  <si>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</si>
  <si>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</si>
  <si>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</si>
  <si>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</si>
  <si>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</si>
  <si>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</si>
  <si>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</si>
  <si>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</si>
  <si>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</si>
  <si>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</si>
  <si>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</si>
  <si>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</si>
  <si>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</si>
  <si>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</si>
  <si>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</si>
  <si>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</si>
  <si>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</si>
  <si>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</si>
  <si>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</si>
  <si>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</si>
  <si>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</si>
  <si>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</si>
  <si>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</si>
  <si>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</si>
  <si>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</si>
  <si>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</si>
  <si>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</si>
  <si>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</si>
  <si>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</si>
  <si>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</si>
  <si>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</si>
  <si>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</si>
  <si>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</si>
  <si>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</si>
  <si>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</si>
  <si>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</si>
  <si>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</si>
  <si>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</si>
  <si>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</si>
  <si>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</si>
  <si>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</si>
  <si>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</si>
  <si>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</si>
  <si>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</si>
  <si>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</si>
  <si>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</si>
  <si>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</si>
  <si>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</si>
  <si>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</si>
  <si>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</si>
  <si>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</si>
  <si>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</si>
  <si>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</si>
  <si>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</si>
  <si>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</si>
  <si>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</si>
  <si>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</si>
  <si>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</si>
  <si>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</si>
  <si>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</si>
  <si>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</si>
  <si>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</si>
  <si>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</si>
  <si>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</si>
  <si>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</si>
  <si>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</si>
  <si>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</si>
  <si>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</si>
  <si>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</si>
  <si>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</si>
  <si>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</si>
  <si>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</si>
  <si>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</si>
  <si>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</si>
  <si>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</si>
  <si>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</si>
  <si>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</si>
  <si>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</si>
  <si>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</si>
  <si>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</si>
  <si>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</si>
  <si>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</si>
  <si>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</si>
  <si>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</si>
  <si>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</si>
  <si>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</si>
  <si>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</si>
  <si>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</si>
  <si>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</si>
  <si>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</si>
  <si>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</si>
  <si>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</si>
  <si>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</si>
  <si>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</si>
  <si>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</si>
  <si>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</si>
  <si>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</si>
  <si>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</si>
  <si>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</si>
  <si>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</si>
  <si>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</si>
  <si>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</si>
  <si>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</si>
  <si>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</si>
  <si>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</si>
  <si>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</si>
  <si>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</si>
  <si>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</si>
  <si>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</si>
  <si>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</si>
  <si>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</si>
  <si>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</si>
  <si>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</si>
  <si>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</si>
  <si>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</si>
  <si>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</si>
  <si>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</si>
  <si>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</si>
  <si>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</si>
  <si>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</si>
  <si>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</si>
  <si>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</si>
  <si>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</si>
  <si>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</si>
  <si>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</si>
  <si>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</si>
  <si>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</si>
  <si>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</si>
  <si>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</si>
  <si>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</si>
  <si>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</si>
  <si>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</si>
  <si>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</si>
  <si>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</si>
  <si>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</si>
  <si>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</si>
  <si>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</si>
  <si>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</si>
  <si>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</si>
  <si>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</si>
  <si>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</si>
  <si>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</si>
  <si>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</si>
  <si>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</si>
  <si>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</si>
  <si>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</si>
  <si>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</si>
  <si>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</si>
  <si>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</si>
  <si>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</si>
  <si>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</si>
  <si>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</si>
  <si>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</si>
  <si>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</si>
  <si>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</si>
  <si>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</si>
  <si>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</si>
  <si>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</si>
  <si>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</si>
  <si>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</si>
  <si>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</si>
  <si>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</si>
  <si>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</si>
  <si>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</si>
  <si>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</si>
  <si>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</si>
  <si>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</si>
  <si>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</si>
  <si>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</si>
  <si>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</si>
  <si>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</si>
  <si>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</si>
  <si>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</si>
  <si>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</si>
  <si>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</si>
  <si>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</si>
  <si>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</si>
  <si>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</si>
  <si>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</si>
  <si>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</si>
  <si>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</si>
  <si>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</si>
  <si>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</si>
  <si>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</si>
  <si>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</si>
  <si>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</si>
  <si>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</si>
  <si>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</si>
  <si>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</si>
  <si>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</si>
  <si>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</si>
  <si>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</si>
  <si>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</si>
  <si>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</si>
  <si>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</si>
  <si>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</si>
  <si>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</si>
  <si>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</si>
  <si>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</si>
  <si>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</si>
  <si>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</si>
  <si>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</si>
  <si>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</si>
  <si>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</si>
  <si>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</si>
  <si>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</si>
  <si>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</si>
  <si>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</si>
  <si>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</si>
  <si>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</si>
  <si>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</si>
  <si>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</si>
  <si>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</si>
  <si>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</si>
  <si>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</si>
  <si>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</si>
  <si>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</si>
  <si>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</si>
  <si>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</si>
  <si>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</si>
  <si>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</si>
  <si>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</si>
  <si>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</si>
  <si>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</si>
  <si>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</si>
  <si>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</si>
  <si>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</si>
  <si>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</si>
  <si>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</si>
  <si>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</si>
  <si>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</si>
  <si>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</si>
  <si>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</si>
  <si>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</si>
  <si>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</si>
  <si>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</si>
  <si>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</si>
  <si>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</si>
  <si>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</si>
  <si>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</si>
  <si>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</si>
  <si>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</si>
  <si>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</si>
  <si>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</si>
  <si>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</si>
  <si>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</si>
  <si>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</si>
  <si>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</si>
  <si>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</si>
  <si>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</si>
  <si>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</si>
  <si>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</si>
  <si>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</si>
  <si>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</si>
  <si>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</si>
  <si>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</si>
  <si>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</si>
  <si>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</si>
  <si>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</si>
  <si>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</si>
  <si>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</si>
  <si>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</si>
  <si>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</si>
  <si>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</si>
  <si>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</si>
  <si>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</si>
  <si>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</si>
  <si>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</si>
  <si>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</si>
  <si>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</si>
  <si>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</si>
  <si>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</si>
  <si>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</si>
  <si>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</si>
  <si>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</si>
  <si>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</si>
  <si>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</si>
  <si>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</si>
  <si>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</si>
  <si>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</si>
  <si>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</si>
  <si>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</si>
  <si>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</si>
  <si>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</si>
  <si>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</si>
  <si>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</si>
  <si>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</si>
  <si>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</si>
  <si>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</si>
  <si>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</si>
  <si>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</si>
  <si>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</si>
  <si>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</si>
  <si>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</si>
  <si>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</si>
  <si>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</si>
  <si>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</si>
  <si>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</si>
  <si>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</si>
  <si>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</si>
  <si>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</si>
  <si>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</si>
  <si>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</si>
  <si>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</si>
  <si>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</si>
  <si>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</si>
  <si>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</si>
  <si>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</si>
  <si>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</si>
  <si>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</si>
  <si>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</si>
  <si>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</si>
  <si>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</si>
  <si>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</si>
  <si>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</si>
  <si>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</si>
  <si>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</si>
  <si>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</si>
  <si>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</si>
  <si>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</si>
  <si>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</si>
  <si>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</si>
  <si>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</si>
  <si>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</si>
  <si>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</si>
  <si>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</si>
  <si>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</si>
  <si>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</si>
  <si>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</si>
  <si>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</si>
  <si>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</si>
  <si>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</si>
  <si>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</si>
  <si>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</si>
  <si>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</si>
  <si>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</si>
  <si>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</si>
  <si>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</si>
  <si>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</si>
  <si>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</si>
  <si>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</si>
  <si>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</si>
  <si>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</si>
  <si>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</si>
  <si>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</si>
  <si>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</si>
  <si>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</si>
  <si>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</si>
  <si>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</si>
  <si>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</si>
  <si>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</si>
  <si>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</si>
  <si>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</si>
  <si>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</si>
  <si>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</si>
  <si>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</si>
  <si>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</si>
  <si>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</si>
  <si>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</si>
  <si>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</si>
  <si>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</si>
  <si>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</si>
  <si>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</si>
  <si>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</si>
  <si>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</si>
  <si>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</si>
  <si>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</si>
  <si>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</si>
  <si>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</si>
  <si>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</si>
  <si>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</si>
  <si>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</si>
  <si>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</si>
  <si>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</si>
  <si>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</si>
  <si>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</si>
  <si>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</si>
  <si>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</si>
  <si>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</si>
  <si>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</si>
  <si>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</si>
  <si>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</si>
  <si>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</si>
  <si>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</si>
  <si>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</si>
  <si>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</si>
  <si>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</si>
  <si>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</si>
  <si>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</si>
  <si>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</si>
  <si>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</si>
  <si>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</si>
  <si>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</si>
  <si>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</si>
  <si>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</si>
  <si>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</si>
  <si>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</si>
  <si>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</si>
  <si>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</si>
  <si>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</si>
  <si>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</si>
  <si>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</si>
  <si>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</si>
  <si>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</si>
  <si>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</si>
  <si>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</si>
  <si>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</si>
  <si>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</si>
  <si>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</si>
  <si>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</si>
  <si>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</si>
  <si>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</si>
  <si>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</si>
  <si>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</si>
  <si>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</si>
  <si>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</si>
  <si>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</si>
  <si>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</si>
  <si>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</si>
  <si>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</si>
  <si>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</si>
  <si>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</si>
  <si>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</si>
  <si>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</si>
  <si>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</si>
  <si>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</si>
  <si>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</si>
  <si>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</si>
  <si>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</si>
  <si>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</si>
  <si>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</si>
  <si>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</si>
  <si>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</si>
  <si>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</si>
  <si>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</si>
  <si>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</si>
  <si>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</si>
  <si>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</si>
  <si>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</si>
  <si>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</si>
  <si>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</si>
  <si>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</si>
  <si>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</si>
  <si>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</si>
  <si>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</si>
  <si>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</si>
  <si>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</si>
  <si>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</si>
  <si>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</si>
  <si>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</si>
  <si>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</si>
  <si>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</si>
  <si>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</si>
  <si>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</si>
  <si>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</si>
  <si>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</si>
  <si>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</si>
  <si>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</si>
  <si>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</si>
  <si>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</si>
  <si>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</si>
  <si>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</si>
  <si>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</si>
  <si>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</si>
  <si>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</si>
  <si>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</si>
  <si>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</si>
  <si>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</si>
  <si>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</si>
  <si>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</si>
  <si>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</si>
  <si>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</si>
  <si>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</si>
  <si>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</si>
  <si>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</si>
  <si>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</si>
  <si>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</si>
  <si>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</si>
  <si>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</si>
  <si>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</si>
  <si>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</si>
  <si>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</si>
  <si>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</si>
  <si>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</si>
  <si>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</si>
  <si>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</si>
  <si>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</si>
  <si>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</si>
  <si>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</si>
  <si>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</si>
  <si>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</si>
  <si>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</si>
  <si>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</si>
  <si>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</si>
  <si>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</si>
  <si>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</si>
  <si>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</si>
  <si>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</si>
  <si>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</si>
  <si>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</si>
  <si>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</si>
  <si>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</si>
  <si>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</si>
  <si>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</si>
  <si>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</si>
  <si>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</si>
  <si>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</si>
  <si>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</si>
  <si>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</si>
  <si>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</si>
  <si>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</si>
  <si>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</si>
  <si>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</si>
  <si>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</si>
  <si>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</si>
  <si>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</si>
  <si>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</si>
  <si>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</si>
  <si>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</si>
  <si>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</si>
  <si>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</si>
  <si>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</si>
  <si>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</si>
  <si>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</si>
  <si>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</si>
  <si>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</si>
  <si>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</si>
  <si>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</si>
  <si>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</si>
  <si>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</si>
  <si>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</si>
  <si>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</si>
  <si>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</si>
  <si>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</si>
  <si>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</si>
  <si>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</si>
  <si>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</si>
  <si>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</si>
  <si>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</si>
  <si>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</si>
  <si>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</si>
  <si>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</si>
  <si>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</si>
  <si>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</si>
  <si>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</si>
  <si>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</si>
  <si>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</si>
  <si>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</si>
  <si>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</si>
  <si>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</si>
  <si>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</si>
  <si>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</si>
  <si>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</si>
  <si>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</si>
  <si>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</si>
  <si>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</si>
  <si>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</si>
  <si>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</si>
  <si>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</si>
  <si>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</si>
  <si>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</si>
  <si>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</si>
  <si>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</si>
  <si>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</si>
  <si>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</si>
  <si>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</si>
  <si>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</si>
  <si>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</si>
  <si>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</si>
  <si>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</si>
  <si>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</si>
  <si>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</si>
  <si>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</si>
  <si>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</si>
  <si>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</si>
  <si>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</si>
  <si>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</si>
  <si>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</si>
  <si>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</si>
  <si>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</si>
  <si>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</si>
  <si>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</si>
  <si>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</si>
  <si>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</si>
  <si>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</si>
  <si>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</si>
  <si>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</si>
  <si>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</si>
  <si>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</si>
  <si>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</si>
  <si>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</si>
  <si>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</si>
  <si>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</si>
  <si>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</si>
  <si>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</si>
  <si>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</si>
  <si>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</si>
  <si>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</si>
  <si>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</si>
  <si>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</si>
  <si>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</si>
  <si>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</si>
  <si>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</si>
  <si>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</si>
  <si>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</si>
  <si>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</si>
  <si>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</si>
  <si>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</si>
  <si>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</si>
  <si>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</si>
  <si>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</si>
  <si>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</si>
  <si>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</si>
  <si>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</si>
  <si>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</si>
  <si>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</si>
  <si>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</si>
  <si>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</si>
  <si>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</si>
  <si>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</si>
  <si>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</si>
  <si>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</si>
  <si>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</si>
  <si>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</si>
  <si>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</si>
  <si>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</si>
  <si>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</si>
  <si>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</si>
  <si>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</si>
  <si>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</si>
  <si>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</si>
  <si>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</si>
  <si>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</si>
  <si>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</si>
  <si>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</si>
  <si>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</si>
  <si>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</si>
  <si>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</si>
  <si>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</si>
  <si>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</si>
  <si>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</si>
  <si>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</si>
  <si>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</si>
  <si>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</si>
  <si>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</si>
  <si>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</si>
  <si>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</si>
  <si>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</si>
  <si>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</si>
  <si>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</si>
  <si>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</si>
  <si>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</si>
  <si>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</si>
  <si>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</si>
  <si>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</si>
  <si>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</si>
  <si>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</si>
  <si>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</si>
  <si>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</si>
  <si>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</si>
  <si>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</si>
  <si>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</si>
  <si>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</si>
  <si>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</si>
  <si>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</si>
  <si>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</si>
  <si>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</si>
  <si>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</si>
  <si>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</si>
  <si>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</si>
  <si>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</si>
  <si>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</si>
  <si>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</si>
  <si>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</si>
  <si>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</si>
  <si>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</si>
  <si>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</si>
  <si>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</si>
  <si>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</si>
  <si>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</si>
  <si>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</si>
  <si>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</si>
  <si>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</si>
  <si>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</si>
  <si>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</si>
  <si>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</si>
  <si>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</si>
  <si>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</si>
  <si>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</si>
  <si>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</si>
  <si>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</si>
  <si>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</si>
  <si>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</si>
  <si>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</si>
  <si>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</si>
  <si>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</si>
  <si>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</si>
  <si>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</si>
  <si>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</si>
  <si>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</si>
  <si>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</si>
  <si>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</si>
  <si>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</si>
  <si>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</si>
  <si>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</si>
  <si>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</si>
  <si>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</si>
  <si>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</si>
  <si>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</si>
  <si>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</si>
  <si>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</si>
  <si>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</si>
  <si>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</si>
  <si>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</si>
  <si>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</si>
  <si>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</si>
  <si>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</si>
  <si>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</si>
  <si>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</si>
  <si>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</si>
  <si>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</si>
  <si>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</si>
  <si>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</si>
  <si>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</si>
  <si>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</si>
  <si>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</si>
  <si>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</si>
  <si>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</si>
  <si>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</si>
  <si>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</si>
  <si>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</si>
  <si>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</si>
  <si>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</si>
  <si>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</si>
  <si>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</si>
  <si>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</si>
  <si>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</si>
  <si>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</si>
  <si>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</si>
  <si>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</si>
  <si>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</si>
  <si>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</si>
  <si>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</si>
  <si>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</si>
  <si>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</si>
  <si>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</si>
  <si>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</si>
  <si>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</si>
  <si>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</si>
  <si>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</si>
  <si>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</si>
  <si>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</si>
  <si>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</si>
  <si>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</si>
  <si>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</si>
  <si>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</si>
  <si>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</si>
  <si>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</si>
  <si>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</si>
  <si>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</si>
  <si>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</si>
  <si>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</si>
  <si>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</si>
  <si>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</si>
  <si>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</si>
  <si>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</si>
  <si>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</si>
  <si>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</si>
  <si>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</si>
  <si>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</si>
  <si>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</si>
  <si>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</si>
  <si>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</si>
  <si>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</si>
  <si>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</si>
  <si>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</si>
  <si>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</si>
  <si>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</si>
  <si>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</si>
  <si>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</si>
  <si>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</si>
  <si>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</si>
  <si>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</si>
  <si>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</si>
  <si>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</si>
  <si>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</si>
  <si>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</si>
  <si>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</si>
  <si>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</si>
  <si>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</si>
  <si>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</si>
  <si>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</si>
  <si>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</si>
  <si>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</si>
  <si>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</si>
  <si>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</si>
  <si>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</si>
  <si>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</si>
  <si>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</si>
  <si>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</si>
  <si>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</si>
  <si>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</si>
  <si>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</si>
  <si>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</si>
  <si>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</si>
  <si>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</si>
  <si>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</si>
  <si>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</si>
  <si>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</si>
  <si>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</si>
  <si>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</si>
  <si>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</si>
  <si>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</si>
  <si>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</si>
  <si>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</si>
  <si>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</si>
  <si>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</si>
  <si>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</si>
  <si>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</si>
  <si>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</si>
  <si>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</si>
  <si>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</si>
  <si>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</si>
  <si>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</si>
  <si>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</si>
  <si>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</si>
  <si>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</si>
  <si>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</si>
  <si>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</si>
  <si>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</si>
  <si>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</si>
  <si>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</si>
  <si>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</si>
  <si>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</si>
  <si>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</si>
  <si>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</si>
  <si>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</si>
  <si>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</si>
  <si>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</si>
  <si>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</si>
  <si>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</si>
  <si>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</si>
  <si>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</si>
  <si>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</si>
  <si>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</si>
  <si>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</si>
  <si>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</si>
  <si>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</si>
  <si>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</si>
  <si>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</si>
  <si>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</si>
  <si>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</si>
  <si>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</si>
  <si>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</si>
  <si>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</si>
  <si>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</si>
  <si>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</si>
  <si>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</si>
  <si>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</si>
  <si>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</si>
  <si>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</si>
  <si>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</si>
  <si>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</si>
  <si>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</si>
  <si>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</si>
  <si>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</si>
  <si>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</si>
  <si>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</si>
  <si>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</si>
  <si>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</si>
  <si>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</si>
  <si>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</si>
  <si>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</si>
  <si>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</si>
  <si>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</si>
  <si>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</si>
  <si>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</si>
  <si>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</si>
  <si>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</si>
  <si>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</si>
  <si>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</si>
  <si>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</si>
  <si>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</si>
  <si>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</si>
  <si>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</si>
  <si>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</si>
  <si>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</si>
  <si>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</si>
  <si>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</si>
  <si>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</si>
  <si>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</si>
  <si>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</si>
  <si>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</si>
  <si>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</si>
  <si>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</si>
  <si>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</si>
  <si>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</si>
  <si>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</si>
  <si>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</si>
  <si>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</si>
  <si>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</si>
  <si>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</si>
  <si>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</si>
  <si>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</si>
  <si>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</si>
  <si>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</si>
  <si>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</si>
  <si>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</si>
  <si>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</si>
  <si>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</si>
  <si>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</si>
  <si>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</si>
  <si>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</si>
  <si>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</si>
  <si>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</si>
  <si>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</si>
  <si>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</si>
  <si>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</si>
  <si>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</si>
  <si>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</si>
  <si>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</si>
  <si>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</si>
  <si>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</si>
  <si>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</si>
  <si>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</si>
  <si>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</si>
  <si>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</si>
  <si>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</si>
  <si>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</si>
  <si>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</si>
  <si>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</si>
  <si>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</si>
  <si>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</si>
  <si>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</si>
  <si>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</si>
  <si>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</si>
  <si>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</si>
  <si>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</si>
  <si>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</si>
  <si>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</si>
  <si>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</si>
  <si>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</si>
  <si>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</si>
  <si>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</si>
  <si>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</si>
  <si>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</si>
  <si>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</si>
  <si>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</si>
  <si>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</si>
  <si>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</si>
  <si>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</si>
  <si>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</si>
  <si>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</si>
  <si>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</si>
  <si>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</si>
  <si>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</si>
  <si>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</si>
  <si>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</si>
  <si>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</si>
  <si>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</si>
  <si>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</si>
  <si>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</si>
  <si>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</si>
  <si>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</si>
  <si>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</si>
  <si>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</si>
  <si>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</si>
  <si>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</si>
  <si>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</si>
  <si>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</si>
  <si>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</si>
  <si>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</si>
  <si>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</si>
  <si>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</si>
  <si>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</si>
  <si>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</si>
  <si>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</si>
  <si>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</si>
  <si>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</si>
  <si>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</si>
  <si>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</si>
  <si>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</si>
  <si>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</si>
  <si>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</si>
  <si>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</si>
  <si>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</si>
  <si>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</si>
  <si>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</si>
  <si>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</si>
  <si>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</si>
  <si>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</si>
  <si>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</si>
  <si>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</si>
  <si>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</si>
  <si>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</si>
  <si>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</si>
  <si>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</si>
  <si>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</si>
  <si>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</si>
  <si>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</si>
  <si>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</si>
  <si>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</si>
  <si>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</si>
  <si>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</si>
  <si>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</si>
  <si>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</si>
  <si>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</si>
  <si>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</si>
  <si>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</si>
  <si>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</si>
  <si>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</si>
  <si>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</si>
  <si>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</si>
  <si>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</si>
  <si>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</si>
  <si>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</si>
  <si>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</si>
  <si>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</si>
  <si>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</si>
  <si>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</si>
  <si>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</si>
  <si>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</si>
  <si>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</si>
  <si>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</si>
  <si>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</si>
  <si>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</si>
  <si>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</si>
  <si>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</si>
  <si>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</si>
  <si>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</si>
  <si>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</si>
  <si>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</si>
  <si>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</si>
  <si>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</si>
  <si>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</si>
  <si>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</si>
  <si>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</si>
  <si>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</si>
  <si>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</si>
  <si>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</si>
  <si>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</si>
  <si>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</si>
  <si>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</si>
  <si>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</si>
  <si>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</si>
  <si>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</si>
  <si>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</si>
  <si>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</si>
  <si>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</si>
  <si>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</si>
  <si>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</si>
  <si>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</si>
  <si>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</si>
  <si>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</si>
  <si>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</si>
  <si>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</si>
  <si>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</si>
  <si>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</si>
  <si>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</si>
  <si>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</si>
  <si>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</si>
  <si>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</si>
  <si>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</si>
  <si>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</si>
  <si>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</si>
  <si>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</si>
  <si>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</si>
  <si>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</si>
  <si>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</si>
  <si>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</si>
  <si>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</si>
  <si>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</si>
  <si>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</si>
  <si>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</si>
  <si>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</si>
  <si>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</si>
  <si>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</si>
  <si>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</si>
  <si>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</si>
  <si>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</si>
  <si>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</si>
  <si>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</si>
  <si>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</si>
  <si>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</si>
  <si>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</si>
  <si>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</si>
  <si>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</si>
  <si>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</si>
  <si>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</si>
  <si>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</si>
  <si>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</si>
  <si>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</si>
  <si>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</si>
  <si>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</si>
  <si>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</si>
  <si>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</si>
  <si>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</si>
  <si>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</si>
  <si>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</si>
  <si>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</si>
  <si>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</si>
  <si>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</si>
  <si>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</si>
  <si>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</si>
  <si>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</si>
  <si>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</si>
  <si>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</si>
  <si>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</si>
  <si>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</si>
  <si>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</si>
  <si>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</si>
  <si>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</si>
  <si>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</si>
  <si>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</si>
  <si>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</si>
  <si>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</si>
  <si>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</si>
  <si>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</si>
  <si>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</si>
  <si>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</si>
  <si>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</si>
  <si>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</si>
  <si>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</si>
  <si>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</si>
  <si>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</si>
  <si>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</si>
  <si>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</si>
  <si>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</si>
  <si>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</si>
  <si>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</si>
  <si>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</si>
  <si>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</si>
  <si>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</si>
  <si>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</si>
  <si>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</si>
  <si>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</si>
  <si>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</si>
  <si>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</si>
  <si>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</si>
  <si>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</si>
  <si>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</si>
  <si>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</si>
  <si>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</si>
  <si>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</si>
  <si>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</si>
  <si>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</si>
  <si>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</si>
  <si>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</si>
  <si>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</si>
  <si>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</si>
  <si>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</si>
  <si>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</si>
  <si>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</si>
  <si>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</si>
  <si>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</si>
  <si>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</si>
  <si>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</si>
  <si>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</si>
  <si>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</si>
  <si>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</si>
  <si>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</si>
  <si>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</si>
  <si>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</si>
  <si>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</si>
  <si>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</si>
  <si>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</si>
  <si>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</si>
  <si>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</si>
  <si>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</si>
  <si>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</si>
  <si>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</si>
  <si>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</si>
  <si>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</si>
  <si>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</si>
  <si>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</si>
  <si>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</si>
  <si>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</si>
  <si>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</si>
  <si>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</si>
  <si>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</si>
  <si>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</si>
  <si>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</si>
  <si>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</si>
  <si>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</si>
  <si>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</si>
  <si>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</si>
  <si>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</si>
  <si>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</si>
  <si>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</si>
  <si>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</si>
  <si>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</si>
  <si>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</si>
  <si>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</si>
  <si>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</si>
  <si>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</si>
  <si>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</si>
  <si>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</si>
  <si>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</si>
  <si>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</si>
  <si>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</si>
  <si>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</si>
  <si>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</si>
  <si>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</si>
  <si>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</si>
  <si>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</si>
  <si>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</si>
  <si>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</si>
  <si>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</si>
  <si>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</si>
  <si>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</si>
  <si>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</si>
  <si>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</si>
  <si>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</si>
  <si>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</si>
  <si>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</si>
  <si>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</si>
  <si>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</si>
  <si>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</si>
  <si>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</si>
  <si>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</si>
  <si>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</si>
  <si>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</si>
  <si>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</si>
  <si>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</si>
  <si>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</si>
  <si>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</si>
  <si>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</si>
  <si>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</si>
  <si>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</si>
  <si>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</si>
  <si>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</si>
  <si>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</si>
  <si>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</si>
  <si>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</si>
  <si>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</si>
  <si>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</si>
  <si>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</si>
  <si>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</si>
  <si>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</si>
  <si>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</si>
  <si>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</si>
  <si>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</si>
  <si>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</si>
  <si>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</si>
  <si>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</si>
  <si>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</si>
  <si>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</si>
  <si>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</si>
  <si>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</si>
  <si>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</si>
  <si>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</si>
  <si>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</si>
  <si>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</si>
  <si>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</si>
  <si>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</si>
  <si>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</si>
  <si>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</si>
  <si>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</si>
  <si>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</si>
  <si>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</si>
  <si>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</si>
  <si>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</si>
  <si>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</si>
  <si>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</si>
  <si>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</si>
  <si>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</si>
  <si>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</si>
  <si>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</si>
  <si>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</si>
  <si>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</si>
  <si>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</si>
  <si>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</si>
  <si>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</si>
  <si>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</si>
  <si>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</si>
  <si>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</si>
  <si>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</si>
  <si>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</si>
  <si>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</si>
  <si>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</si>
  <si>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</si>
  <si>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</si>
  <si>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</si>
  <si>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</si>
  <si>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</si>
  <si>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</si>
  <si>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</si>
  <si>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</si>
  <si>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</si>
  <si>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</si>
  <si>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</si>
  <si>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</si>
  <si>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</si>
  <si>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</si>
  <si>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</si>
  <si>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</si>
  <si>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</si>
  <si>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</si>
  <si>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</si>
  <si>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</si>
  <si>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</si>
  <si>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</si>
  <si>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</si>
  <si>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</si>
  <si>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</si>
  <si>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</si>
  <si>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</si>
  <si>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</si>
  <si>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</si>
  <si>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</si>
  <si>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</si>
  <si>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</si>
  <si>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</si>
  <si>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</si>
  <si>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</si>
  <si>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</si>
  <si>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</si>
  <si>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</si>
  <si>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</si>
  <si>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</si>
  <si>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</si>
  <si>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</si>
  <si>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</si>
  <si>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</si>
  <si>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</si>
  <si>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</si>
  <si>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</si>
  <si>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</si>
  <si>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</si>
  <si>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</si>
  <si>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</si>
  <si>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</si>
  <si>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</si>
  <si>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</si>
  <si>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</si>
  <si>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</si>
  <si>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</si>
  <si>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</si>
  <si>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</si>
  <si>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</si>
  <si>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</si>
  <si>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</si>
  <si>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</si>
  <si>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</si>
  <si>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</si>
  <si>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</si>
  <si>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</si>
  <si>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</si>
  <si>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</si>
  <si>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</si>
  <si>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</si>
  <si>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</si>
  <si>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</si>
  <si>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</si>
  <si>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</si>
  <si>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</si>
  <si>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</si>
  <si>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</si>
  <si>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</si>
  <si>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</si>
  <si>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</si>
  <si>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</si>
  <si>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</si>
  <si>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</si>
  <si>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</si>
  <si>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</si>
  <si>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</si>
  <si>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</si>
  <si>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</si>
  <si>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</si>
  <si>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</si>
  <si>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</si>
  <si>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</si>
  <si>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</si>
  <si>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</si>
  <si>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</si>
  <si>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</si>
  <si>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</si>
  <si>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</si>
  <si>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</si>
  <si>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</si>
  <si>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</si>
  <si>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</si>
  <si>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</si>
  <si>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</si>
  <si>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</si>
  <si>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</si>
  <si>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</si>
  <si>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</si>
  <si>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</si>
  <si>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</si>
  <si>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</si>
  <si>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</si>
  <si>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</si>
  <si>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</si>
  <si>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</si>
  <si>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</si>
  <si>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</si>
  <si>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</si>
  <si>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</si>
  <si>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</si>
  <si>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</si>
  <si>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</si>
  <si>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</si>
  <si>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</si>
  <si>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</si>
  <si>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</si>
  <si>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</si>
  <si>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</si>
  <si>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</si>
  <si>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</si>
  <si>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</si>
  <si>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</si>
  <si>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</si>
  <si>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</si>
  <si>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</si>
  <si>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</si>
  <si>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</si>
  <si>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</si>
  <si>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</si>
  <si>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</si>
  <si>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</si>
  <si>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</si>
  <si>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</si>
  <si>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</si>
  <si>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</si>
  <si>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</si>
  <si>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</si>
  <si>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</si>
  <si>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</si>
  <si>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</si>
  <si>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</si>
  <si>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</si>
  <si>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</si>
  <si>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</si>
  <si>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</si>
  <si>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</si>
  <si>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</si>
  <si>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</si>
  <si>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</si>
  <si>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</si>
  <si>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</si>
  <si>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</si>
  <si>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</si>
  <si>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</si>
  <si>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</si>
  <si>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</si>
  <si>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</si>
  <si>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</si>
  <si>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</si>
  <si>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</si>
  <si>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</si>
  <si>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</si>
  <si>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</si>
  <si>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</si>
  <si>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</si>
  <si>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</si>
  <si>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</si>
  <si>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</si>
  <si>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</si>
  <si>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</si>
  <si>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</si>
  <si>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</si>
  <si>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</si>
  <si>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</si>
  <si>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</si>
  <si>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</si>
  <si>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</si>
  <si>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</si>
  <si>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</si>
  <si>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</si>
  <si>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</si>
  <si>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</si>
  <si>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</si>
  <si>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</si>
  <si>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</si>
  <si>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</si>
  <si>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</si>
  <si>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</si>
  <si>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</si>
  <si>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</si>
  <si>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</si>
  <si>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</si>
  <si>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</si>
  <si>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</si>
  <si>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</si>
  <si>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</si>
  <si>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</si>
  <si>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</si>
  <si>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</si>
  <si>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</si>
  <si>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</si>
  <si>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</si>
  <si>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</si>
  <si>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</si>
  <si>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</si>
  <si>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</si>
  <si>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</si>
  <si>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</si>
  <si>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</si>
  <si>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</si>
  <si>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</si>
  <si>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</si>
  <si>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</si>
  <si>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</si>
  <si>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</si>
  <si>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</si>
  <si>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</si>
  <si>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</si>
  <si>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</si>
  <si>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</si>
  <si>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</si>
  <si>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</si>
  <si>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</si>
  <si>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</si>
  <si>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</si>
  <si>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</si>
  <si>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</si>
  <si>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</si>
  <si>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</si>
  <si>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</si>
  <si>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</si>
  <si>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</si>
  <si>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</si>
  <si>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</si>
  <si>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</si>
  <si>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</si>
  <si>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</si>
  <si>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</si>
  <si>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</si>
  <si>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</si>
  <si>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</si>
  <si>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</si>
  <si>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</si>
  <si>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</si>
  <si>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</si>
  <si>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</si>
  <si>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</si>
  <si>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</si>
  <si>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</si>
  <si>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</si>
  <si>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</si>
  <si>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</si>
  <si>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</si>
  <si>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</si>
  <si>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</si>
  <si>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</si>
  <si>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</si>
  <si>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</si>
  <si>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</si>
  <si>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</si>
  <si>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</si>
  <si>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</si>
  <si>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</si>
  <si>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</si>
  <si>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</si>
  <si>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</si>
  <si>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</si>
  <si>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</si>
  <si>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</si>
  <si>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</si>
  <si>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</si>
  <si>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</si>
  <si>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</si>
  <si>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</si>
  <si>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</si>
  <si>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</si>
  <si>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</si>
  <si>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</si>
  <si>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</si>
  <si>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</si>
  <si>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</si>
  <si>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</si>
  <si>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</si>
  <si>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</si>
  <si>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</si>
  <si>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</si>
  <si>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</si>
  <si>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</si>
  <si>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</si>
  <si>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</si>
  <si>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</si>
  <si>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</si>
  <si>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</si>
  <si>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</si>
  <si>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</si>
  <si>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</si>
  <si>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</si>
  <si>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</si>
  <si>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</si>
  <si>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</si>
  <si>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</si>
  <si>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</si>
  <si>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</si>
  <si>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</si>
  <si>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</si>
  <si>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</si>
  <si>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</si>
  <si>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</si>
  <si>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</si>
  <si>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</si>
  <si>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</si>
  <si>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</si>
  <si>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</si>
  <si>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</si>
  <si>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</si>
  <si>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</si>
  <si>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</si>
  <si>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</si>
  <si>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</si>
  <si>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</si>
  <si>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</si>
  <si>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</si>
  <si>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</si>
  <si>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</si>
  <si>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</si>
  <si>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</si>
  <si>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</si>
  <si>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</si>
  <si>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</si>
  <si>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</si>
  <si>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</si>
  <si>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</si>
  <si>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</si>
  <si>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</si>
  <si>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</si>
  <si>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</si>
  <si>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</si>
  <si>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</si>
  <si>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</si>
  <si>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</si>
  <si>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</si>
  <si>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</si>
  <si>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</si>
  <si>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</si>
  <si>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</si>
  <si>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</si>
  <si>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</si>
  <si>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</si>
  <si>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</si>
  <si>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</si>
  <si>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</si>
  <si>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</si>
  <si>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</si>
  <si>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</si>
  <si>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</si>
  <si>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</si>
  <si>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</si>
  <si>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</si>
  <si>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</si>
  <si>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</si>
  <si>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</si>
  <si>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</si>
  <si>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</si>
  <si>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</si>
  <si>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</si>
  <si>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</si>
  <si>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</si>
  <si>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</si>
  <si>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</si>
  <si>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</si>
  <si>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</si>
  <si>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</si>
  <si>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</si>
  <si>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</si>
  <si>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</si>
  <si>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</si>
  <si>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</si>
  <si>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</si>
  <si>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</si>
  <si>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</si>
  <si>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</si>
  <si>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</si>
  <si>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</si>
  <si>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</si>
  <si>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</si>
  <si>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</si>
  <si>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</si>
  <si>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</si>
  <si>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</si>
  <si>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</si>
  <si>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</si>
  <si>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</si>
  <si>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</si>
  <si>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</si>
  <si>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</si>
  <si>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</si>
  <si>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</si>
  <si>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</si>
  <si>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</si>
  <si>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</si>
  <si>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</si>
  <si>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</si>
  <si>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</si>
  <si>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</si>
  <si>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</si>
  <si>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</si>
  <si>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</si>
  <si>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</si>
  <si>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</si>
  <si>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</si>
  <si>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</si>
  <si>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</si>
  <si>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</si>
  <si>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</si>
  <si>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</si>
  <si>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</si>
  <si>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</si>
  <si>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</si>
  <si>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</si>
  <si>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</si>
  <si>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</si>
  <si>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</si>
  <si>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</si>
  <si>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</si>
  <si>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</si>
  <si>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</si>
  <si>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</si>
  <si>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</si>
  <si>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</si>
  <si>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</si>
  <si>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</si>
  <si>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</si>
  <si>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</si>
  <si>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</si>
  <si>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</si>
  <si>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</si>
  <si>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</si>
  <si>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</si>
  <si>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</si>
  <si>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</si>
  <si>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</si>
  <si>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</si>
  <si>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</si>
  <si>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</si>
  <si>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</si>
  <si>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</si>
  <si>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</si>
  <si>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</si>
  <si>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</si>
  <si>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</si>
  <si>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</si>
  <si>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</si>
  <si>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</si>
  <si>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</si>
  <si>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</si>
  <si>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</si>
  <si>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</si>
  <si>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</si>
  <si>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</si>
  <si>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</si>
  <si>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</si>
  <si>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</si>
  <si>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</si>
  <si>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</si>
  <si>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</si>
  <si>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</si>
  <si>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</si>
  <si>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</si>
  <si>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</si>
  <si>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</si>
  <si>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</si>
  <si>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</si>
  <si>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</si>
  <si>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</si>
  <si>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</si>
  <si>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</si>
  <si>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</si>
  <si>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</si>
  <si>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</si>
  <si>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</si>
  <si>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</si>
  <si>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</si>
  <si>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</si>
  <si>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</si>
  <si>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</si>
  <si>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</si>
  <si>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</si>
  <si>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</si>
  <si>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</si>
  <si>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</si>
  <si>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</si>
  <si>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</si>
  <si>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</si>
  <si>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</si>
  <si>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</si>
  <si>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</si>
  <si>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</si>
  <si>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</si>
  <si>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</si>
  <si>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</si>
  <si>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</si>
  <si>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</si>
  <si>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</si>
  <si>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</si>
  <si>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</si>
  <si>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</si>
  <si>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</si>
  <si>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</si>
  <si>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</si>
  <si>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</si>
  <si>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</si>
  <si>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</si>
  <si>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</si>
  <si>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</si>
  <si>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</si>
  <si>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</si>
  <si>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</si>
  <si>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</si>
  <si>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</si>
  <si>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</si>
  <si>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</si>
  <si>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</si>
  <si>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</si>
  <si>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</si>
  <si>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</si>
  <si>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</si>
  <si>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</si>
  <si>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</si>
  <si>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</si>
  <si>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</si>
  <si>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</si>
  <si>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</si>
  <si>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</si>
  <si>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</si>
  <si>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</si>
  <si>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</si>
  <si>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</si>
  <si>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</si>
  <si>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</si>
  <si>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</si>
  <si>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</si>
  <si>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</si>
  <si>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</si>
  <si>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</si>
  <si>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</si>
  <si>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</si>
  <si>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</si>
  <si>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</si>
  <si>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</si>
  <si>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</si>
  <si>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</si>
  <si>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</si>
  <si>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</si>
  <si>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</si>
  <si>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</si>
  <si>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</si>
  <si>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</si>
  <si>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</si>
  <si>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</si>
  <si>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</si>
  <si>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</si>
  <si>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</si>
  <si>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</si>
  <si>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</si>
  <si>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</si>
  <si>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</si>
  <si>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</si>
  <si>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</si>
  <si>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</si>
  <si>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</si>
  <si>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</si>
  <si>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</si>
  <si>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</si>
  <si>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</si>
  <si>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</si>
  <si>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</si>
  <si>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</si>
  <si>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</si>
  <si>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</si>
  <si>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</si>
  <si>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</si>
  <si>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</si>
  <si>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</si>
  <si>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</si>
  <si>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</si>
  <si>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</si>
  <si>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</si>
  <si>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</si>
  <si>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</si>
  <si>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</si>
  <si>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</si>
  <si>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</si>
  <si>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</si>
  <si>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</si>
  <si>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</si>
  <si>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</si>
  <si>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</si>
  <si>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</si>
  <si>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</si>
  <si>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</si>
  <si>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</si>
  <si>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</si>
  <si>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</si>
  <si>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</si>
  <si>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</si>
  <si>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</si>
  <si>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</si>
  <si>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</si>
  <si>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</si>
  <si>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</si>
  <si>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</si>
  <si>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</si>
  <si>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</si>
  <si>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</si>
  <si>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</si>
  <si>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</si>
  <si>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</si>
  <si>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</si>
  <si>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</si>
  <si>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</si>
  <si>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</si>
  <si>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</si>
  <si>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</si>
  <si>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</si>
  <si>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</si>
  <si>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</si>
  <si>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</si>
  <si>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</si>
  <si>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</si>
  <si>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</si>
  <si>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</si>
  <si>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</si>
  <si>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</si>
  <si>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</si>
  <si>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</si>
  <si>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</si>
  <si>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</si>
  <si>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</si>
  <si>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</si>
  <si>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</si>
  <si>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</si>
  <si>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</si>
  <si>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</si>
  <si>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</si>
  <si>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</si>
  <si>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</si>
  <si>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</si>
  <si>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</si>
  <si>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</si>
  <si>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</si>
  <si>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</si>
  <si>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</si>
  <si>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</si>
  <si>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</si>
  <si>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</si>
  <si>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</si>
  <si>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</si>
  <si>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</si>
  <si>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</si>
  <si>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</si>
  <si>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</si>
  <si>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</si>
  <si>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</si>
  <si>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</si>
  <si>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</si>
  <si>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</si>
  <si>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</si>
  <si>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</si>
  <si>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</si>
  <si>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</si>
  <si>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</si>
  <si>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</si>
  <si>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</si>
  <si>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</si>
  <si>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</si>
  <si>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</si>
  <si>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</si>
  <si>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</si>
  <si>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</si>
  <si>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</si>
  <si>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</si>
  <si>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</si>
  <si>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</si>
  <si>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</si>
  <si>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</si>
  <si>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</si>
  <si>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</si>
  <si>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</si>
  <si>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</si>
  <si>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</si>
  <si>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</si>
  <si>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</si>
  <si>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</si>
  <si>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</si>
  <si>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</si>
  <si>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</si>
  <si>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</si>
  <si>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</si>
  <si>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</si>
  <si>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</si>
  <si>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</si>
  <si>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</si>
  <si>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</si>
  <si>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</si>
  <si>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</si>
  <si>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</si>
  <si>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</si>
  <si>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</si>
  <si>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</si>
  <si>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</si>
  <si>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</si>
  <si>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</si>
  <si>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</si>
  <si>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</si>
  <si>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</si>
  <si>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</si>
  <si>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</si>
  <si>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</si>
  <si>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</si>
  <si>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</si>
  <si>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</si>
  <si>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</si>
  <si>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</si>
  <si>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</si>
  <si>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</si>
  <si>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</si>
  <si>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</si>
  <si>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</si>
  <si>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</si>
  <si>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</si>
  <si>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</si>
  <si>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</si>
  <si>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</si>
  <si>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</si>
  <si>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</si>
  <si>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</si>
  <si>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</si>
  <si>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</si>
  <si>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</si>
  <si>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</si>
  <si>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</si>
  <si>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</si>
  <si>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</si>
  <si>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</si>
  <si>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</si>
  <si>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</si>
  <si>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</si>
  <si>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</si>
  <si>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</si>
  <si>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</si>
  <si>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</si>
  <si>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</si>
  <si>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</si>
  <si>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</si>
  <si>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</si>
  <si>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</si>
  <si>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</si>
  <si>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</si>
  <si>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</si>
  <si>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</si>
  <si>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</si>
  <si>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</si>
  <si>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</si>
  <si>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</si>
  <si>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</si>
  <si>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</si>
  <si>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</si>
  <si>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</si>
  <si>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</si>
  <si>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</si>
  <si>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</si>
  <si>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</si>
  <si>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</si>
  <si>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</si>
  <si>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</si>
  <si>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</si>
  <si>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</si>
  <si>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</si>
  <si>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</si>
  <si>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</si>
  <si>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</si>
  <si>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</si>
  <si>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</si>
  <si>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</si>
  <si>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</si>
  <si>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</si>
  <si>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</si>
  <si>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</si>
  <si>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</si>
  <si>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</si>
  <si>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</si>
  <si>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</si>
  <si>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</si>
  <si>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</si>
  <si>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</si>
  <si>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</si>
  <si>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</si>
  <si>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</si>
  <si>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</si>
  <si>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</si>
  <si>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</si>
  <si>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</si>
  <si>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</si>
  <si>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</si>
  <si>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</si>
  <si>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</si>
  <si>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</si>
  <si>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</si>
  <si>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</si>
  <si>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</si>
  <si>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</si>
  <si>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</si>
  <si>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</si>
  <si>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</si>
  <si>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</si>
  <si>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</si>
  <si>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</si>
  <si>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</si>
  <si>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</si>
  <si>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</si>
  <si>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</si>
  <si>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</si>
  <si>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</si>
  <si>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</si>
  <si>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</si>
  <si>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</si>
  <si>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</si>
  <si>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</si>
  <si>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</si>
  <si>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</si>
  <si>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</si>
  <si>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</si>
  <si>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</si>
  <si>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</si>
  <si>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</si>
  <si>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</si>
  <si>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</si>
  <si>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</si>
  <si>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</si>
  <si>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</si>
  <si>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</si>
  <si>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</si>
  <si>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</si>
  <si>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</si>
  <si>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</si>
  <si>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</si>
  <si>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</si>
  <si>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</si>
  <si>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</si>
  <si>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</si>
  <si>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</si>
  <si>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</si>
  <si>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</si>
  <si>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</si>
  <si>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</si>
  <si>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</si>
  <si>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</si>
  <si>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</si>
  <si>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</si>
  <si>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</si>
  <si>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</si>
  <si>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</si>
  <si>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</si>
  <si>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</si>
  <si>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</si>
  <si>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</si>
  <si>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</si>
  <si>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</si>
  <si>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</si>
  <si>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</si>
  <si>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</si>
  <si>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</si>
  <si>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</si>
  <si>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</si>
  <si>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</si>
  <si>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</si>
  <si>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</si>
  <si>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</si>
  <si>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</si>
  <si>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</si>
  <si>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</si>
  <si>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</si>
  <si>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</si>
  <si>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</si>
  <si>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</si>
  <si>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</si>
  <si>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</si>
  <si>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</si>
  <si>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</si>
  <si>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</si>
  <si>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</si>
  <si>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</si>
  <si>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</si>
  <si>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</si>
  <si>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</si>
  <si>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</si>
  <si>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</si>
  <si>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</si>
  <si>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</si>
  <si>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</si>
  <si>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</si>
  <si>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</si>
  <si>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</si>
  <si>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</si>
  <si>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</si>
  <si>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</si>
  <si>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</si>
  <si>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</si>
  <si>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</si>
  <si>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</si>
  <si>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</si>
  <si>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</si>
  <si>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</si>
  <si>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</si>
  <si>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</si>
  <si>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</si>
  <si>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</si>
  <si>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</si>
  <si>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</si>
  <si>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</si>
  <si>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</si>
  <si>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</si>
  <si>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</si>
  <si>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</si>
  <si>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</si>
  <si>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</si>
  <si>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</si>
  <si>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</si>
  <si>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</si>
  <si>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</si>
  <si>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</si>
  <si>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</si>
  <si>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</si>
  <si>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</si>
  <si>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</si>
  <si>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</si>
  <si>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</si>
  <si>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</si>
  <si>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</si>
  <si>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</si>
  <si>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</si>
  <si>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</si>
  <si>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</si>
  <si>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</si>
  <si>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</si>
  <si>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</si>
  <si>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</si>
  <si>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</si>
  <si>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</si>
  <si>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</si>
  <si>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</si>
  <si>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</si>
  <si>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</si>
  <si>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</si>
  <si>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</si>
  <si>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</si>
  <si>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</si>
  <si>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</si>
  <si>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</si>
  <si>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</si>
  <si>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</si>
  <si>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</si>
  <si>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</si>
  <si>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</si>
  <si>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</si>
  <si>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</si>
  <si>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</si>
  <si>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</si>
  <si>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</si>
  <si>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</si>
  <si>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</si>
  <si>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</si>
  <si>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</si>
  <si>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</si>
  <si>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</si>
  <si>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</si>
  <si>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</si>
  <si>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</si>
  <si>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</si>
  <si>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</si>
  <si>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</si>
  <si>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</si>
  <si>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</si>
  <si>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</si>
  <si>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</si>
  <si>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</si>
  <si>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</si>
  <si>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</si>
  <si>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</si>
  <si>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</si>
  <si>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</si>
  <si>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</si>
  <si>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</si>
  <si>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</si>
  <si>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</si>
  <si>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</si>
  <si>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</si>
  <si>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</si>
  <si>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</si>
  <si>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</si>
  <si>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</si>
  <si>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</si>
  <si>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</si>
  <si>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</si>
  <si>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</si>
  <si>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</si>
  <si>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</si>
  <si>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</si>
  <si>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</si>
  <si>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</si>
  <si>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</si>
  <si>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</si>
  <si>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</si>
  <si>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</si>
  <si>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</si>
  <si>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</si>
  <si>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</si>
  <si>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</si>
  <si>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</si>
  <si>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</si>
  <si>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</si>
  <si>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</si>
  <si>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</si>
  <si>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</si>
  <si>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</si>
  <si>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</si>
  <si>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</si>
  <si>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</si>
  <si>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</si>
  <si>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</si>
  <si>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</si>
  <si>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</si>
  <si>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</si>
  <si>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</si>
  <si>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</si>
  <si>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</si>
  <si>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</si>
  <si>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</si>
  <si>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</si>
  <si>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</si>
  <si>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</si>
  <si>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</si>
  <si>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</si>
  <si>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</si>
  <si>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</si>
  <si>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</si>
  <si>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</si>
  <si>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</si>
  <si>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</si>
  <si>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</si>
  <si>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</si>
  <si>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</si>
  <si>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</si>
  <si>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</si>
  <si>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</si>
  <si>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</si>
  <si>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</si>
  <si>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</si>
  <si>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</si>
  <si>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</si>
  <si>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</si>
  <si>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</si>
  <si>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</si>
  <si>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</si>
  <si>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</si>
  <si>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</si>
  <si>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</si>
  <si>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</si>
  <si>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</si>
  <si>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</si>
  <si>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</si>
  <si>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</si>
  <si>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</si>
  <si>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</si>
  <si>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</si>
  <si>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</si>
  <si>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</si>
  <si>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</si>
  <si>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</si>
  <si>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</si>
  <si>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</si>
  <si>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</si>
  <si>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</si>
  <si>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</si>
  <si>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</si>
  <si>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</si>
  <si>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</si>
  <si>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</si>
  <si>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</si>
  <si>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</si>
  <si>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</si>
  <si>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</si>
  <si>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</si>
  <si>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</si>
  <si>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</si>
  <si>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</si>
  <si>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</si>
  <si>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</si>
  <si>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</si>
  <si>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</si>
  <si>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</si>
  <si>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</si>
  <si>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</si>
  <si>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</si>
  <si>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</si>
  <si>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</si>
  <si>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</si>
  <si>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</si>
  <si>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</si>
  <si>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</si>
  <si>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</si>
  <si>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</si>
  <si>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New Columbia Residential</t>
  </si>
  <si>
    <t>Clara Trejos</t>
  </si>
  <si>
    <t>Vice President Tax Credit Operations</t>
  </si>
  <si>
    <t>1718 Peachtree St NW, Suite 684</t>
  </si>
  <si>
    <t>ctrejos@columbiares.com</t>
  </si>
  <si>
    <t>President</t>
  </si>
  <si>
    <t>jgrauley@columbiares.com</t>
  </si>
  <si>
    <t>Grove Park Gardens</t>
  </si>
  <si>
    <t>Within City Limits</t>
  </si>
  <si>
    <t>Keisha Lance Bottoms</t>
  </si>
  <si>
    <t>Mayor</t>
  </si>
  <si>
    <t>www.atlantaga.gov</t>
  </si>
  <si>
    <t>55 Trinity Avenue, SW</t>
  </si>
  <si>
    <t>mayorbottoms@atlantaga.gov</t>
  </si>
  <si>
    <t>Direct</t>
  </si>
  <si>
    <t>New Affordable Housing Partners</t>
  </si>
  <si>
    <t>Heritage Village at West Lakes</t>
  </si>
  <si>
    <t>James S. Grauley</t>
  </si>
  <si>
    <t>For Profit</t>
  </si>
  <si>
    <t>www.columbiares.com</t>
  </si>
  <si>
    <t>SunTrust Community Capital, LLC</t>
  </si>
  <si>
    <t>1155 Peachtree St, Ste 300</t>
  </si>
  <si>
    <t>www.suntrust.com</t>
  </si>
  <si>
    <t>Brian Womble</t>
  </si>
  <si>
    <t>First Vice President</t>
  </si>
  <si>
    <t>brian.womble@suntrust.com</t>
  </si>
  <si>
    <t>New Affordable Housing Partners, LLC</t>
  </si>
  <si>
    <t>1718 Peachtree St, NW, Suite 684</t>
  </si>
  <si>
    <t>New Columbia Residential Property Management</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</si>
  <si>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</si>
  <si>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</si>
  <si>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</si>
  <si>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</si>
  <si>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</si>
  <si>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</si>
  <si>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</si>
  <si>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</si>
  <si>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</si>
  <si>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</si>
  <si>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</si>
  <si>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</si>
  <si>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SunTrust Community Capital</t>
  </si>
  <si>
    <t>Amortizing</t>
  </si>
  <si>
    <t>DDA/QCT</t>
  </si>
  <si>
    <t>Dominion Due Diligence Group</t>
  </si>
  <si>
    <t>3+ Story</t>
  </si>
  <si>
    <t>Housing Service Coordinator (HHI)</t>
  </si>
  <si>
    <t>Disposition Fee &amp; Credit Report</t>
  </si>
  <si>
    <t>Prestwick Construction</t>
  </si>
  <si>
    <t>Ray Dotson</t>
  </si>
  <si>
    <t>prestwickcompanies.com</t>
  </si>
  <si>
    <t>ray.dotson@prestwickcompanies.com</t>
  </si>
  <si>
    <t>3715 Northside Parkway NW, Building 400, Suite 120</t>
  </si>
  <si>
    <t>Agree</t>
  </si>
  <si>
    <t xml:space="preserve"> Weekly/monthly health screenings, community garden classes, and monthly nutrition/healthy eating classes</t>
  </si>
  <si>
    <t>Allen and Associates</t>
  </si>
  <si>
    <t>The appraisal was prepared in conformance with the 2018 Appraisal Manual. The value of the land per the appraisal is higher than the purchase price of the property. A copy of the appraisal is found in Tab 6</t>
  </si>
  <si>
    <t>United Consulting</t>
  </si>
  <si>
    <t>Arpeggio Acoustic Consulting</t>
  </si>
  <si>
    <t>Purchase Contract</t>
  </si>
  <si>
    <t>N/Ap</t>
  </si>
  <si>
    <t>Georgia Power</t>
  </si>
  <si>
    <t>Room</t>
  </si>
  <si>
    <t>Gazebo</t>
  </si>
  <si>
    <t>On-site laundry</t>
  </si>
  <si>
    <t>Fenced Community Gardens</t>
  </si>
  <si>
    <t>We are committing to providing all amenities described above, these are shown on the CSDP</t>
  </si>
  <si>
    <t>The Conceptual Site Development Plan meets all DCA requirements.  Vicinity and location maps show geo coordinates and entire municipality.  Site pictures are in color, numbered, dated and include descriptions.  All pictures keyed to site plan.  Aerial included.  See Tab 15.</t>
  </si>
  <si>
    <t>Annie Walker-Bryant</t>
  </si>
  <si>
    <t>We agree to meet all accessibility requirements per the 2018 QAP and 2018 Architectural and Accessibilty Manuals listed above</t>
  </si>
  <si>
    <t xml:space="preserve">Compliance History summary was submitted at pre-application. </t>
  </si>
  <si>
    <t>We agree to all requirements of AFFH</t>
  </si>
  <si>
    <t>MARTA Bankhead Transit Station</t>
  </si>
  <si>
    <t>Publicly available</t>
  </si>
  <si>
    <t>Heritage Village at West Lake</t>
  </si>
  <si>
    <t>9% Credit &amp; HOME</t>
  </si>
  <si>
    <t>2018PA-037</t>
  </si>
  <si>
    <t>Quest Community Development Organization</t>
  </si>
  <si>
    <t>Leonard Adams</t>
  </si>
  <si>
    <t>CEO</t>
  </si>
  <si>
    <t>878 Rock St NW</t>
  </si>
  <si>
    <t>ladams@questcommunities.org</t>
  </si>
  <si>
    <t>239 West Lake Avenue, NW</t>
  </si>
  <si>
    <t>84.00</t>
  </si>
  <si>
    <t>www.questcommunities.org</t>
  </si>
  <si>
    <t>Quest Community Development Organization, Inc</t>
  </si>
  <si>
    <t>5G Studio Collaborative</t>
  </si>
  <si>
    <t>Jim Viviano</t>
  </si>
  <si>
    <t>260 Peachtree St, Suite 500</t>
  </si>
  <si>
    <t>Patner</t>
  </si>
  <si>
    <t>www.5gstudio.com</t>
  </si>
  <si>
    <t>jimviviano@5gstudio.com</t>
  </si>
  <si>
    <t>New Columbia Residential, LLC</t>
  </si>
  <si>
    <t>The principals of New Columbia Residential, LLC, land seller, are also the principals of the developer and management entities on this project.</t>
  </si>
  <si>
    <t xml:space="preserve"> Developer and Property Manager</t>
  </si>
  <si>
    <t>James S. Grauley and Noel F. Khalil are owners of  New Affordable Housing Partners and New Columbia Residential Property Management. These are the developer and property manager of Heritage Village at West Lake. Quest Community Development Organization is the General Partner and co-developer of the projejct</t>
  </si>
  <si>
    <t>DCA HOME Loan</t>
  </si>
  <si>
    <t>`</t>
  </si>
  <si>
    <t>Other Non-Senior</t>
  </si>
  <si>
    <t>Supportive Housing</t>
  </si>
  <si>
    <t>Tenancy is Other Non-Senior. We will set aside 24 units that will provide permanent supportive housing to single 18 – 24 year old men and women who are aging out of the foster care system.</t>
  </si>
  <si>
    <t>Daily referral and information services</t>
  </si>
  <si>
    <t>West Lake Ave NW, CSX, MARTA</t>
  </si>
  <si>
    <t>Minority concentration</t>
  </si>
  <si>
    <t>Floating</t>
  </si>
  <si>
    <t>Heritage Village West Lake, L.P.</t>
  </si>
  <si>
    <t>Substantial Gut Rehab</t>
  </si>
  <si>
    <t>SK Collaborative</t>
  </si>
  <si>
    <t xml:space="preserve">Quest Community Development Organization has been deemed Qualified based on the CHDO Exception.  </t>
  </si>
  <si>
    <t>Heritage Village West Lake Partners, LLC</t>
  </si>
  <si>
    <t>All CHDO documentation is included in Tab 23</t>
  </si>
  <si>
    <t>Troup County / Hogansville / LaGrange / West Point</t>
  </si>
  <si>
    <t>May 2018 v3</t>
  </si>
  <si>
    <t xml:space="preserve"> Monthly holiday events, monthly arts &amp; crafts </t>
  </si>
  <si>
    <t>* A Work of Scope Spreadsheet is included in Tab 14 - Rehab Standards. The work of scope includes a breakout of the site work as well as the hard costs, contractor fees are based on allowable percentages
* This is a rehab project, the existing building has 150 units (dorms) and we will be converting it to 123 units, therefore there will be no impact fee associated with the project since it is grandfathered in</t>
  </si>
  <si>
    <t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t>
  </si>
  <si>
    <t>*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t>
  </si>
  <si>
    <t xml:space="preserve">Our Debt Service Negatively Trends , Debt Service is higher in the beginning years and reaches 1.25 by year 20, HOME compliance period. At this point the loan will have been paid off and there will be no more debt on the property. </t>
  </si>
  <si>
    <t>www.itsmarta.com/West-lake.aspx</t>
  </si>
  <si>
    <t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Heritage Village.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Heritage Village is located, CDC’s 500 Cities data estimate that 16% of adults have high numbers of poor mental health days (14 or more in a given month).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Heritage Village. Our on-site garden and nutrition programming from HABESHA will further enhance this comprehensive approach by providing environmental and educational supports to instill healthy eating habits in residents of all ages. 
</t>
  </si>
  <si>
    <t xml:space="preserve">For almost two decades, Quest Community Development Organization has served the Vine City and English Avenue communities through its distinct mission “to develop and implement affordable housing and provide needs-based community services to enhance the quality of life for underserved individuals and families.” Quest aims to continue and further this mission with the Heritage Village at West Lake community. Quest, in partnership with Columbia Residential, proposes to develop a 3.06 acre site along West Lake Avenue in the West Lake Neighborhood of Atlanta. Community focused development on Atlanta’s Westside has been on a steady increase since the Atlanta Falcons’ 2013 announcement of the construction of their new stadium. Much of the development has been focused in the Vine City and English Avenue neighborhoods; but, the neighborhoods to the west have just as much need. This development seeks to capitalize on new development initiatives by MARTA (Transit Oriented Development at the West Lake Station) and the Grove Park Foundation with its partnership with Purpose Built Communities. Finally, DCA has already begun a commitment to community development in this area with its 2017 NHTF and HOME awards to Quest’s HFOP development at 339 Holly Street which is located approximately a half-mile from our proposed site. This project will be instrumental in spearheading extensive future economic development in Atlanta’s Westside. As a result, more housing and employment opportunities will become available for local residents.
Quest strives to promote integrated access to resources in its communities regardless of ability status. All services and resources will be offered to all residents. Quest’s selected partners, such as HEALing Communities and Habesha, will offer services on-site thus allowing for access for all residents. Finally, the development team has envisioned this site as a multi-phase and multi-use community. The future uses that we foresee will encourage residents from the larger West Lake neighborhood to partake in the events and resources that we will be offering. 
The Heritage Village at West Lake site occupies a significant place in Atlanta’s history. The Waluhaje was opened in 1951 by Walter Aikens as an apartment and hotel complex which served Atlanta’s developing post-war Westside. The Waluhaje gained notoriety for its ballroom which hosted many of the top Jazz performers of the era. The Aikens sold the property in 1967 and in 1969 Job Corps began providing residential educational and vocational training at the site until 2017 when the program shut down. The Quest and Columbia Residential development team seeks to respect and honor the history of the site. The main building of the site currently houses 150 SRO units over four floors. We propose consolidating many of the spaces to provide 123 units. Quest will continue to focus on providing stable and affordable housing, with services, to vulnerable populations. Quest will be partnering with CHRIS180 and set aside 24 units that will provide permanent supportive housing to single 18 – 24 year old men and women who are aging out of the foster care system. We will support their growth and stability by providing job and life skill training on site, as well as entrepreneurial incubator space. 
We are also seeking to bolster the City of Atlanta’s commitment to sustainability and resilience. The development team will partner with the City of Atlanta’s Office of Resilience, specifically its Urban Agriculture program, and set aside some of the undeveloped land for urban farm production. Many of Atlanta’s urban farmers maintain a tenuous relationship with the land that they farm because they are tenants on land that is owned by investors; and, they can be forced to leave if the real estate market in that community heats up. This partnership can provide stability for our urban farmers and access to healthy fruits and vegetables in an underserved community. Finally, some of the harvested produce will support culinary arts training and food preparation workshops that will be provided in the building’s renovated commercial kitchen.
Quest CDO is a CARF-accredited supportive service agency and all residents can access “light touch” case management services at no additional cost.  Residents can choose to be assigned a certified case manager who can provide them with: benefit application assistance, referrals for mental health services, anger management &amp; substance addiction counseling, financial literacy &amp; money management. If the client is employable, Quest CDO will facilitate workforce development training with the goal of the client finding stable employment. Overall, the results of our efforts of providing affordable housing in coordination with supportive services to low income populations will improve the lives of our residents and promote the overall well-being of the community.
Since 2001, Quest CDO has been committed to the revitalization of Vine City and English Avenue; and, ideally, the Heritage Village at West Lake development will act as a catalyst for continued positive transformation in the adjacent neighborhoods. Quest CDO currently owns, operates, and manages the neighboring 60-units of permanent supportive housing. These 60-units are spread across three different housing communities ranging from 12 to 28 units and provide permanent supportive housing to formerly chronically homeless single men, women, and veterans. Quest developed all three communities and serves as owner and DCA-approved property manager for each. Development funding for these communities was provided through the CHDO-HOME program, either from the City of Atlanta and the Georgia Department of Community Affairs allocation, as well as the Homeless Opportunity Fund from Invest Atlanta. Quest also has 93 units of affordable housing in predevelopment that will begin construction late summer 2018.
Located just 1.5 miles away from Heritage Village, Quest will begin construction on the Quest Nonprofit Center for Change (QNCC) in late summer 2018. The QNCC will provide 25,000 square feet of office and retail space to best-in-class non-profits. These agencies will provide local residents with opportunities for affordable banking, access to fresh foods markets, education programs, and more – all in a central location. The QNCC will also offer social enterprise opportunities that provide entrepreneurial and job training for local residents, as well as incubator office space for community-based services that reflect the needs of the residents. Residents can visit the QNCC to inquire about employment opportunities, health care, rental assistance, and a host of other services
Heritage Village at West Lake will require participation and resources from a number of different agencies. At a minimum, we hope to realize this development with participation from: The Georgia Department of Community Affairs and LIHTC partners. 
i. HOME/CHDO investment from Georgia DCA
ii. 9% LIHTC set-aside allocation from Georgia DCA
iii. Developer Investment via pre-development and DDF
</t>
  </si>
  <si>
    <t>878 Rock St. NW</t>
  </si>
  <si>
    <t>Other electric includes the $10 base charge and "Other Electric" line from the Dominion Allowance spreadsheet. Schedule #1 Efficiency Units are 600 sq. ft and Schedule #2 Efficiency Units are 520 sq. ft. 
Note: Units described by Dominion in Utility Allowance Calculation Report as 1BR/Sm-B is the 520 sq.ft. efficiency and 1BR/Sm-C is the 600 sq.ft.efficiency.</t>
  </si>
  <si>
    <t>Project is feasible, viable and in conformance with the Plan. We have indicated all the sources of funds we intend to apply for.  Our costs meet the allowable cost limits. We have provided letters from SunTrust showing equity pricing at $0.88 for Federal credits and $0.54 for State, this pricing seems to be reasonable and in line with the current market for new construction.  Operating costs for the project meet DCA threshold requirements and are reasonable for a project of this size. Our DCR meets the minimum DCA requirement of 1.25 for the period of affordability. We have higher DCR in the earlier years but because there are only 110 units the deal negatively trends, therefore the DCR is where we need it to be in order to pay off the HOME loan is 20 years. Rents meet LIHTC requirements and are supported by the market study. 
This project is a rehab of a 150 unit building that used to be dorms. The building is currently vacant. Operating statements would not be relevant and are therefore not included.</t>
  </si>
  <si>
    <t>Our costs at the PCL: TDC is $15,349,522.</t>
  </si>
  <si>
    <t>We are committed to provide services described in this section as required for our tenant base.</t>
  </si>
  <si>
    <t>Market Study supports the proposed project, there is no significant adverse impact to the occupancy and financial health of existing assisted rental housing properties in the market area and meets all threshold requirements, see Tab 5 of the application. 
Overall stabilized occupancy for family properties is 94% and is found on p. 7 of study.  The 9% capture rate for tax credit units is obtained by dividing the total 123 units by the combined net demand for 50% AMI units and 60% AMI units.</t>
  </si>
  <si>
    <t>2003-511</t>
  </si>
  <si>
    <t>Ashley College Town Phase I</t>
  </si>
  <si>
    <t>2001-076</t>
  </si>
  <si>
    <t>Columbia Estates</t>
  </si>
  <si>
    <t>2003-026</t>
  </si>
  <si>
    <t>Columbia Crest</t>
  </si>
  <si>
    <t>2002-059</t>
  </si>
  <si>
    <t>Columbia Park Citi Residences</t>
  </si>
  <si>
    <t>1998-501</t>
  </si>
  <si>
    <t>Magnolia Park Apartments Ph I</t>
  </si>
  <si>
    <t>24, 23,85,83.01,83.02, and 40.</t>
  </si>
  <si>
    <t>Phase I Environmental was prepared following 2018 Environmental Manual Guidelines.  All information related to this section is contained in Tab 7.</t>
  </si>
  <si>
    <t>PSA conforms with all 2018 QAP requirments and is contained in Tab 8.  Note:  The Seller, Quest Community Development Organization, received an assignment from New Columbia Residential, LLC.  New Columbia Residential, LLC has entered into a PSA by and between Aroostook Property Management, LLC dated 11/10/17.  This agreement gives Columbia the right to assign the agreement to Quest. Quest is the sole member of Heritage Village West Lake Partners, LLC, and they are the sole member of Heritage Village West Lake, LP.  Quest Community Development Organization has entered into a real estate contract with the LP for 3.06 acres of the larger tract.</t>
  </si>
  <si>
    <t>Site entrace is on West Lake Ave, NW - this is a paved public road, as shown in the documentation contained in Tab 9.</t>
  </si>
  <si>
    <t>Site is zoned O-I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He did state in an email that the Office Industrial zoning of the property makes no reference to farmland.  This email is also contained in Tab 10.</t>
  </si>
  <si>
    <t>A letter from Georgia Power is included in our application confirming availability to the site and is found in Tab 11.</t>
  </si>
  <si>
    <t>City of Atlanta letters for Water and Sewer are included with the application confirming location and availability to the site and is found in Tab 12.</t>
  </si>
  <si>
    <t>All information required by the QAP and DCA Rehabilitation Guide is found in Tab 14: PNA, Energy Audit, Rehabilitation Workscope and Fannie Mae forms.  All requirments have been satisfied.</t>
  </si>
  <si>
    <t>We agree to all building sustainability requirements per the 2018 QAP.</t>
  </si>
  <si>
    <t xml:space="preserve">This is an adaptive reuse rehabilitation of a 150 dorm building into 123 unit apartment complex. All existing infrastructure will be used in the extent possible. </t>
  </si>
  <si>
    <t>Grady Health System 2016 CHNA</t>
  </si>
  <si>
    <t>HEALing Community Center</t>
  </si>
  <si>
    <t>Adult Medicine</t>
  </si>
  <si>
    <t>monthly</t>
  </si>
  <si>
    <t>Behavorial Health</t>
  </si>
  <si>
    <t>Dental</t>
  </si>
  <si>
    <t>Vision Care</t>
  </si>
  <si>
    <t>Fruit and Vegetable Consumption</t>
  </si>
  <si>
    <t>HABESHA Works</t>
  </si>
  <si>
    <t>Increasing physical activity, nutritional education &amp; access to healthy food through participation in community garden activities.</t>
  </si>
  <si>
    <t>The HOME Commitment is included in Tab 40 and shows a $2,000,000 loan.  This amount represents 13% of the TDC of $15,349,522.  We qualify for 3 points.</t>
  </si>
  <si>
    <t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t>
  </si>
  <si>
    <t>We have elected to participate in the Enterprise Foundation Green Communities certification. We have included the Scoring spreadsheet showing we are entitled to 58 points under Enterprise's program.  Since the program minimum is 30, we would have to score at least 40 points to qualify for 3 pts. under this section. A score of 58 is 18 points over the necessary threshold.   We have also submitted the DCA Green Building attendance certificate from 2017 for Betty Gomez, construction manager for New Columbia Residential.</t>
  </si>
  <si>
    <t>We agree to accept Section 811 PBRA on up to 10% of our units.  Please note that 22.7% of our units are one bedrooms.  We are entitled to 2 points.</t>
  </si>
  <si>
    <t>I. Application Completeness: All information necessary for a complete application has been submitted to DCA. We qualify for the full 10 points.
II.A.2. Deeper Targeting through Rent Restrictions:  25 units - 20% of the total 123 units will be rent and income restricted for households earning no more than 50% of AMI.  This qualifies us for 2 pts.
IV.A. 2. and 3.  Transit-Oriented Development: The site is .7 miles from the West Lake Transit Station, as evidenced by the map included in Tab 28.  Also included in this tab is a photo of the transit station with its address, cost of the service,  a maps for the transit line and two of the four connecting bus routes as well as the schedules.  This qualifies us for 4 points; an additional 1 pt. is awarded, because we are a family property with a setaside for supportive housing.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by HABESHA Works.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t>
  </si>
  <si>
    <t>We agree to meet all Architectural and Design Quality standards on the 2018 Architectural Standards Manual. We are proposing to maintain at least 40% of the brick on the existing building.</t>
  </si>
  <si>
    <t>No projects have been funded within a 1-mile radius in the last 6 DCA funding cycles, therefore, we qualify for 3 points. See Tab 44 - for previous project map</t>
  </si>
  <si>
    <t>2018-017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</si>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</sst>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7"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2" fillId="5" borderId="89"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85"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xf>
    <xf numFmtId="0" fontId="41" fillId="0" borderId="82"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Heritage Village at West Lake</v>
      </c>
    </row>
    <row r="3" spans="1:6" ht="15" customHeight="1">
      <c r="A3" s="915" t="str">
        <f>CONCATENATE('Part I-Project Information'!F38,", ", 'Part I-Project Information'!J39," County")</f>
        <v>Atlanta, Fulton County</v>
      </c>
    </row>
    <row r="4" spans="1:6" ht="12" customHeight="1"/>
    <row r="5" spans="1:6" ht="111" customHeight="1">
      <c r="A5" s="2434" t="s">
        <v>4671</v>
      </c>
      <c r="B5" s="2435" t="s">
        <v>2930</v>
      </c>
      <c r="C5" s="2435"/>
      <c r="D5" s="2435"/>
      <c r="E5" s="2435"/>
      <c r="F5" s="2435"/>
    </row>
    <row r="6" spans="1:6" ht="6.6" customHeight="1">
      <c r="A6" s="2434"/>
      <c r="B6" s="2435"/>
      <c r="C6" s="2435"/>
      <c r="D6" s="2435"/>
      <c r="E6" s="2435"/>
      <c r="F6" s="2435"/>
    </row>
    <row r="7" spans="1:6" ht="93" customHeight="1">
      <c r="A7" s="2434"/>
      <c r="B7" s="2435"/>
      <c r="C7" s="2435"/>
      <c r="D7" s="2435"/>
      <c r="E7" s="2435"/>
      <c r="F7" s="2435"/>
    </row>
    <row r="8" spans="1:6" ht="6.6" customHeight="1">
      <c r="A8" s="2434"/>
    </row>
    <row r="9" spans="1:6" ht="93" customHeight="1">
      <c r="A9" s="2434"/>
    </row>
    <row r="10" spans="1:6" ht="6.6" customHeight="1">
      <c r="A10" s="2434"/>
    </row>
    <row r="11" spans="1:6" ht="93" customHeight="1">
      <c r="A11" s="2434"/>
    </row>
    <row r="12" spans="1:6" ht="6.6" customHeight="1">
      <c r="A12" s="2434"/>
    </row>
    <row r="13" spans="1:6" ht="93" customHeight="1">
      <c r="A13" s="2434"/>
    </row>
    <row r="14" spans="1:6" ht="6.6" customHeight="1">
      <c r="A14" s="2434"/>
    </row>
    <row r="15" spans="1:6" ht="93" customHeight="1">
      <c r="A15" s="2434"/>
    </row>
    <row r="16" spans="1:6" ht="6.6" customHeight="1">
      <c r="A16" s="2434"/>
    </row>
    <row r="17" spans="1:1" ht="93" customHeight="1">
      <c r="A17" s="2434"/>
    </row>
    <row r="18" spans="1:1" ht="6.6" customHeight="1">
      <c r="A18" s="2434"/>
    </row>
    <row r="19" spans="1:1" ht="93" customHeight="1">
      <c r="A19" s="2434"/>
    </row>
    <row r="20" spans="1:1" ht="6.6" customHeight="1">
      <c r="A20" s="2434"/>
    </row>
    <row r="21" spans="1:1" ht="93" customHeight="1">
      <c r="A21" s="2434"/>
    </row>
    <row r="22" spans="1:1" ht="6.6" customHeight="1">
      <c r="A22" s="2434"/>
    </row>
    <row r="23" spans="1:1" ht="93" customHeight="1">
      <c r="A23" s="2434"/>
    </row>
  </sheetData>
  <sheetProtection algorithmName="SHA-512" hashValue="bJ/7FspBOXwUzlfHo+eKbZL2mqnPtaeiV7liWaAi7kzNfGlEo5Oq8rS1Bv4LN/mDMuTtSktzs3+EhUX+IkfZSQ==" saltValue="EBPaAmaLbEE1iuAw2vP65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9" t="str">
        <f>CONCATENATE("PART SIX - PROJECTED REVENUES &amp; EXPENSES","  -  ",'Part I-Project Information'!$O$6," ",'Part I-Project Information'!$F$34,", ",'Part I-Project Information'!F38,", ",'Part I-Project Information'!J39," County")</f>
        <v>PART SIX - PROJECTED REVENUES &amp; EXPENSES  -  2018-017 Heritage Village at West Lake, Atlanta, Fulton County</v>
      </c>
      <c r="B1" s="2830"/>
      <c r="C1" s="2830"/>
      <c r="D1" s="2830"/>
      <c r="E1" s="2830"/>
      <c r="F1" s="2830"/>
      <c r="G1" s="2830"/>
      <c r="H1" s="2830"/>
      <c r="I1" s="2830"/>
      <c r="J1" s="2830"/>
      <c r="K1" s="2830"/>
      <c r="L1" s="2830"/>
      <c r="M1" s="2830"/>
      <c r="N1" s="2830"/>
      <c r="O1" s="2830"/>
      <c r="P1" s="2831"/>
      <c r="U1" s="3008" t="str">
        <f>A1</f>
        <v>PART SIX - PROJECTED REVENUES &amp; EXPENSES  -  2018-017 Heritage Village at West Lake, Atlanta, Fulton County</v>
      </c>
      <c r="V1" s="3008"/>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09" t="s">
        <v>3445</v>
      </c>
      <c r="JD3" s="3009" t="s">
        <v>3446</v>
      </c>
      <c r="JE3" s="3009" t="s">
        <v>3447</v>
      </c>
      <c r="JF3" s="3009" t="s">
        <v>3448</v>
      </c>
      <c r="JG3" s="3009"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1" t="s">
        <v>3727</v>
      </c>
      <c r="Q4" s="1583"/>
      <c r="R4" s="431"/>
      <c r="S4" s="431"/>
      <c r="T4" s="431"/>
      <c r="U4" s="431"/>
      <c r="V4" s="432"/>
      <c r="W4" s="3010" t="s">
        <v>928</v>
      </c>
      <c r="X4" s="3010" t="s">
        <v>764</v>
      </c>
      <c r="Y4" s="3010" t="s">
        <v>765</v>
      </c>
      <c r="Z4" s="3010" t="s">
        <v>766</v>
      </c>
      <c r="AA4" s="3010" t="s">
        <v>767</v>
      </c>
      <c r="AB4" s="3010" t="s">
        <v>929</v>
      </c>
      <c r="AC4" s="3010" t="s">
        <v>2326</v>
      </c>
      <c r="AD4" s="3010" t="s">
        <v>2327</v>
      </c>
      <c r="AE4" s="3010" t="s">
        <v>2328</v>
      </c>
      <c r="AF4" s="3010" t="s">
        <v>2329</v>
      </c>
      <c r="AG4" s="3010" t="s">
        <v>930</v>
      </c>
      <c r="AH4" s="3010" t="s">
        <v>2330</v>
      </c>
      <c r="AI4" s="3010" t="s">
        <v>2331</v>
      </c>
      <c r="AJ4" s="3010" t="s">
        <v>2332</v>
      </c>
      <c r="AK4" s="3010" t="s">
        <v>2333</v>
      </c>
      <c r="AL4" s="3010" t="s">
        <v>130</v>
      </c>
      <c r="AM4" s="3010" t="s">
        <v>2334</v>
      </c>
      <c r="AN4" s="3010" t="s">
        <v>2335</v>
      </c>
      <c r="AO4" s="3010" t="s">
        <v>2336</v>
      </c>
      <c r="AP4" s="3010" t="s">
        <v>1158</v>
      </c>
      <c r="AQ4" s="3010" t="s">
        <v>561</v>
      </c>
      <c r="AR4" s="3010" t="s">
        <v>562</v>
      </c>
      <c r="AS4" s="3010" t="s">
        <v>582</v>
      </c>
      <c r="AT4" s="3010" t="s">
        <v>583</v>
      </c>
      <c r="AU4" s="3010" t="s">
        <v>584</v>
      </c>
      <c r="AV4" s="3010" t="s">
        <v>585</v>
      </c>
      <c r="AW4" s="3010" t="s">
        <v>586</v>
      </c>
      <c r="AX4" s="3010" t="s">
        <v>587</v>
      </c>
      <c r="AY4" s="3010" t="s">
        <v>588</v>
      </c>
      <c r="AZ4" s="3010" t="s">
        <v>589</v>
      </c>
      <c r="BA4" s="3010" t="s">
        <v>590</v>
      </c>
      <c r="BB4" s="3010" t="s">
        <v>591</v>
      </c>
      <c r="BC4" s="3010" t="s">
        <v>940</v>
      </c>
      <c r="BD4" s="3010" t="s">
        <v>941</v>
      </c>
      <c r="BE4" s="3010" t="s">
        <v>942</v>
      </c>
      <c r="BF4" s="3010" t="s">
        <v>501</v>
      </c>
      <c r="BG4" s="3010" t="s">
        <v>502</v>
      </c>
      <c r="BH4" s="3010" t="s">
        <v>503</v>
      </c>
      <c r="BI4" s="3010" t="s">
        <v>504</v>
      </c>
      <c r="BJ4" s="3010" t="s">
        <v>505</v>
      </c>
      <c r="BK4" s="3010" t="s">
        <v>889</v>
      </c>
      <c r="BL4" s="3010" t="s">
        <v>890</v>
      </c>
      <c r="BM4" s="3010" t="s">
        <v>891</v>
      </c>
      <c r="BN4" s="3010" t="s">
        <v>892</v>
      </c>
      <c r="BO4" s="3010" t="s">
        <v>893</v>
      </c>
      <c r="BP4" s="3010" t="s">
        <v>894</v>
      </c>
      <c r="BQ4" s="3010" t="s">
        <v>895</v>
      </c>
      <c r="BR4" s="3010" t="s">
        <v>896</v>
      </c>
      <c r="BS4" s="3010" t="s">
        <v>897</v>
      </c>
      <c r="BT4" s="3010" t="s">
        <v>898</v>
      </c>
      <c r="BU4" s="3010" t="s">
        <v>2446</v>
      </c>
      <c r="BV4" s="3010" t="s">
        <v>2447</v>
      </c>
      <c r="BW4" s="3010" t="s">
        <v>2448</v>
      </c>
      <c r="BX4" s="3010" t="s">
        <v>2449</v>
      </c>
      <c r="BY4" s="3010" t="s">
        <v>2450</v>
      </c>
      <c r="BZ4" s="3010" t="s">
        <v>118</v>
      </c>
      <c r="CA4" s="3010" t="s">
        <v>1161</v>
      </c>
      <c r="CB4" s="3010" t="s">
        <v>1162</v>
      </c>
      <c r="CC4" s="3010" t="s">
        <v>1225</v>
      </c>
      <c r="CD4" s="3010" t="s">
        <v>1226</v>
      </c>
      <c r="CE4" s="3013" t="s">
        <v>133</v>
      </c>
      <c r="CF4" s="3013" t="s">
        <v>1227</v>
      </c>
      <c r="CG4" s="3013" t="s">
        <v>1228</v>
      </c>
      <c r="CH4" s="3013" t="s">
        <v>1229</v>
      </c>
      <c r="CI4" s="3013" t="s">
        <v>1230</v>
      </c>
      <c r="CJ4" s="3013" t="s">
        <v>132</v>
      </c>
      <c r="CK4" s="3013" t="s">
        <v>920</v>
      </c>
      <c r="CL4" s="3013" t="s">
        <v>921</v>
      </c>
      <c r="CM4" s="3013" t="s">
        <v>922</v>
      </c>
      <c r="CN4" s="3013" t="s">
        <v>923</v>
      </c>
      <c r="CO4" s="3013" t="s">
        <v>131</v>
      </c>
      <c r="CP4" s="3013" t="s">
        <v>924</v>
      </c>
      <c r="CQ4" s="3013" t="s">
        <v>925</v>
      </c>
      <c r="CR4" s="3013" t="s">
        <v>926</v>
      </c>
      <c r="CS4" s="3013" t="s">
        <v>927</v>
      </c>
      <c r="CT4" s="3013" t="s">
        <v>817</v>
      </c>
      <c r="CU4" s="3013" t="s">
        <v>818</v>
      </c>
      <c r="CV4" s="3013" t="s">
        <v>819</v>
      </c>
      <c r="CW4" s="3013" t="s">
        <v>820</v>
      </c>
      <c r="CX4" s="3013" t="s">
        <v>821</v>
      </c>
      <c r="CY4" s="3013" t="s">
        <v>966</v>
      </c>
      <c r="CZ4" s="3013" t="s">
        <v>967</v>
      </c>
      <c r="DA4" s="3013" t="s">
        <v>968</v>
      </c>
      <c r="DB4" s="3013" t="s">
        <v>969</v>
      </c>
      <c r="DC4" s="3013" t="s">
        <v>2445</v>
      </c>
      <c r="DD4" s="3013" t="s">
        <v>1445</v>
      </c>
      <c r="DE4" s="3013" t="s">
        <v>1446</v>
      </c>
      <c r="DF4" s="3013" t="s">
        <v>1447</v>
      </c>
      <c r="DG4" s="3013" t="s">
        <v>1448</v>
      </c>
      <c r="DH4" s="3013" t="s">
        <v>1449</v>
      </c>
      <c r="DI4" s="3013" t="s">
        <v>438</v>
      </c>
      <c r="DJ4" s="3013" t="s">
        <v>439</v>
      </c>
      <c r="DK4" s="3013" t="s">
        <v>440</v>
      </c>
      <c r="DL4" s="3013" t="s">
        <v>441</v>
      </c>
      <c r="DM4" s="3013" t="s">
        <v>442</v>
      </c>
      <c r="DN4" s="3013" t="s">
        <v>17</v>
      </c>
      <c r="DO4" s="3013" t="s">
        <v>18</v>
      </c>
      <c r="DP4" s="3013" t="s">
        <v>19</v>
      </c>
      <c r="DQ4" s="3013" t="s">
        <v>20</v>
      </c>
      <c r="DR4" s="3013" t="s">
        <v>21</v>
      </c>
      <c r="DS4" s="3013" t="s">
        <v>224</v>
      </c>
      <c r="DT4" s="3013" t="s">
        <v>225</v>
      </c>
      <c r="DU4" s="3013" t="s">
        <v>226</v>
      </c>
      <c r="DV4" s="3013" t="s">
        <v>1824</v>
      </c>
      <c r="DW4" s="3013" t="s">
        <v>1825</v>
      </c>
      <c r="DX4" s="3013" t="s">
        <v>1826</v>
      </c>
      <c r="DY4" s="3013" t="s">
        <v>598</v>
      </c>
      <c r="DZ4" s="3013" t="s">
        <v>599</v>
      </c>
      <c r="EA4" s="3013" t="s">
        <v>600</v>
      </c>
      <c r="EB4" s="3013" t="s">
        <v>601</v>
      </c>
      <c r="EC4" s="3013" t="s">
        <v>22</v>
      </c>
      <c r="ED4" s="3013" t="s">
        <v>23</v>
      </c>
      <c r="EE4" s="3013" t="s">
        <v>24</v>
      </c>
      <c r="EF4" s="3013" t="s">
        <v>25</v>
      </c>
      <c r="EG4" s="3013" t="s">
        <v>26</v>
      </c>
      <c r="EH4" s="3013" t="s">
        <v>500</v>
      </c>
      <c r="EI4" s="3013" t="s">
        <v>434</v>
      </c>
      <c r="EJ4" s="3013" t="s">
        <v>435</v>
      </c>
      <c r="EK4" s="3013" t="s">
        <v>436</v>
      </c>
      <c r="EL4" s="3013" t="s">
        <v>437</v>
      </c>
      <c r="EM4" s="3013" t="s">
        <v>2224</v>
      </c>
      <c r="EN4" s="3013" t="s">
        <v>2225</v>
      </c>
      <c r="EO4" s="3013" t="s">
        <v>2226</v>
      </c>
      <c r="EP4" s="3013" t="s">
        <v>1491</v>
      </c>
      <c r="EQ4" s="3013" t="s">
        <v>1492</v>
      </c>
      <c r="ER4" s="3013" t="s">
        <v>27</v>
      </c>
      <c r="ES4" s="3013" t="s">
        <v>28</v>
      </c>
      <c r="ET4" s="3013" t="s">
        <v>29</v>
      </c>
      <c r="EU4" s="3013" t="s">
        <v>30</v>
      </c>
      <c r="EV4" s="3013"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09" t="s">
        <v>1637</v>
      </c>
      <c r="IE4" s="3009" t="s">
        <v>2540</v>
      </c>
      <c r="IF4" s="3009" t="s">
        <v>2541</v>
      </c>
      <c r="IG4" s="3009" t="s">
        <v>388</v>
      </c>
      <c r="IH4" s="3009" t="s">
        <v>389</v>
      </c>
      <c r="II4" s="3009" t="s">
        <v>390</v>
      </c>
      <c r="IJ4" s="3009" t="s">
        <v>391</v>
      </c>
      <c r="IK4" s="3009" t="s">
        <v>392</v>
      </c>
      <c r="IL4" s="3009" t="s">
        <v>393</v>
      </c>
      <c r="IM4" s="3009" t="s">
        <v>394</v>
      </c>
      <c r="IN4" s="3009" t="s">
        <v>204</v>
      </c>
      <c r="IO4" s="3009" t="s">
        <v>205</v>
      </c>
      <c r="IP4" s="3009" t="s">
        <v>206</v>
      </c>
      <c r="IQ4" s="3009" t="s">
        <v>207</v>
      </c>
      <c r="IR4" s="3009" t="s">
        <v>208</v>
      </c>
      <c r="IS4" s="3009" t="s">
        <v>209</v>
      </c>
      <c r="IT4" s="3009" t="s">
        <v>210</v>
      </c>
      <c r="IU4" s="3009" t="s">
        <v>211</v>
      </c>
      <c r="IV4" s="3009" t="s">
        <v>212</v>
      </c>
      <c r="IW4" s="3009" t="s">
        <v>213</v>
      </c>
      <c r="IX4" s="3009" t="s">
        <v>214</v>
      </c>
      <c r="IY4" s="3009" t="s">
        <v>215</v>
      </c>
      <c r="IZ4" s="3009" t="s">
        <v>216</v>
      </c>
      <c r="JA4" s="3009" t="s">
        <v>217</v>
      </c>
      <c r="JB4" s="3009" t="s">
        <v>218</v>
      </c>
      <c r="JC4" s="3009"/>
      <c r="JD4" s="3009"/>
      <c r="JE4" s="3009"/>
      <c r="JF4" s="3009"/>
      <c r="JG4" s="3009"/>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4" t="str">
        <f>IF(A48&gt;0,"Finish Row!","")</f>
        <v/>
      </c>
      <c r="B5" s="4" t="s">
        <v>1860</v>
      </c>
      <c r="D5" s="1"/>
      <c r="E5" s="4"/>
      <c r="F5" s="1"/>
      <c r="G5" s="2284" t="s">
        <v>4655</v>
      </c>
      <c r="H5" s="1126"/>
      <c r="I5" s="1585" t="s">
        <v>806</v>
      </c>
      <c r="J5" s="1585" t="s">
        <v>3588</v>
      </c>
      <c r="K5" s="3006" t="s">
        <v>4550</v>
      </c>
      <c r="L5" s="3007"/>
      <c r="M5" s="1586" t="s">
        <v>581</v>
      </c>
      <c r="O5" s="1584" t="s">
        <v>1045</v>
      </c>
      <c r="P5" s="3011"/>
      <c r="Q5" s="1583"/>
      <c r="R5" s="97"/>
      <c r="S5" s="97"/>
      <c r="T5" s="97"/>
      <c r="W5" s="3010"/>
      <c r="X5" s="3010"/>
      <c r="Y5" s="3010"/>
      <c r="Z5" s="3010"/>
      <c r="AA5" s="3010"/>
      <c r="AB5" s="3010"/>
      <c r="AC5" s="3010"/>
      <c r="AD5" s="3010"/>
      <c r="AE5" s="3010"/>
      <c r="AF5" s="3010"/>
      <c r="AG5" s="3010"/>
      <c r="AH5" s="3010"/>
      <c r="AI5" s="3010"/>
      <c r="AJ5" s="3010"/>
      <c r="AK5" s="3010"/>
      <c r="AL5" s="3010"/>
      <c r="AM5" s="3010"/>
      <c r="AN5" s="3010"/>
      <c r="AO5" s="3010"/>
      <c r="AP5" s="3010"/>
      <c r="AQ5" s="3010"/>
      <c r="AR5" s="3010"/>
      <c r="AS5" s="3010"/>
      <c r="AT5" s="3010"/>
      <c r="AU5" s="3010"/>
      <c r="AV5" s="3010"/>
      <c r="AW5" s="3010"/>
      <c r="AX5" s="3010"/>
      <c r="AY5" s="3010"/>
      <c r="AZ5" s="3010"/>
      <c r="BA5" s="3010"/>
      <c r="BB5" s="3010"/>
      <c r="BC5" s="3010"/>
      <c r="BD5" s="3010"/>
      <c r="BE5" s="3010"/>
      <c r="BF5" s="3010"/>
      <c r="BG5" s="3010"/>
      <c r="BH5" s="3010"/>
      <c r="BI5" s="3010"/>
      <c r="BJ5" s="3010"/>
      <c r="BK5" s="3010"/>
      <c r="BL5" s="3010"/>
      <c r="BM5" s="3010"/>
      <c r="BN5" s="3010"/>
      <c r="BO5" s="3010"/>
      <c r="BP5" s="3010"/>
      <c r="BQ5" s="3010"/>
      <c r="BR5" s="3010"/>
      <c r="BS5" s="3010"/>
      <c r="BT5" s="3010"/>
      <c r="BU5" s="3010"/>
      <c r="BV5" s="3010"/>
      <c r="BW5" s="3010"/>
      <c r="BX5" s="3010"/>
      <c r="BY5" s="3010"/>
      <c r="BZ5" s="3010"/>
      <c r="CA5" s="3010"/>
      <c r="CB5" s="3010"/>
      <c r="CC5" s="3010"/>
      <c r="CD5" s="3010"/>
      <c r="CE5" s="3013"/>
      <c r="CF5" s="3013"/>
      <c r="CG5" s="3013"/>
      <c r="CH5" s="3013"/>
      <c r="CI5" s="3013"/>
      <c r="CJ5" s="3013"/>
      <c r="CK5" s="3013"/>
      <c r="CL5" s="3013"/>
      <c r="CM5" s="3013"/>
      <c r="CN5" s="3013"/>
      <c r="CO5" s="3013"/>
      <c r="CP5" s="3013"/>
      <c r="CQ5" s="3013"/>
      <c r="CR5" s="3013"/>
      <c r="CS5" s="3013"/>
      <c r="CT5" s="3013"/>
      <c r="CU5" s="3013"/>
      <c r="CV5" s="3013"/>
      <c r="CW5" s="3013"/>
      <c r="CX5" s="3013"/>
      <c r="CY5" s="3013"/>
      <c r="CZ5" s="3013"/>
      <c r="DA5" s="3013"/>
      <c r="DB5" s="3013"/>
      <c r="DC5" s="3013"/>
      <c r="DD5" s="3013"/>
      <c r="DE5" s="3013"/>
      <c r="DF5" s="3013"/>
      <c r="DG5" s="3013"/>
      <c r="DH5" s="3013"/>
      <c r="DI5" s="3013"/>
      <c r="DJ5" s="3013"/>
      <c r="DK5" s="3013"/>
      <c r="DL5" s="3013"/>
      <c r="DM5" s="3013"/>
      <c r="DN5" s="3013"/>
      <c r="DO5" s="3013"/>
      <c r="DP5" s="3013"/>
      <c r="DQ5" s="3013"/>
      <c r="DR5" s="3013"/>
      <c r="DS5" s="3013"/>
      <c r="DT5" s="3013"/>
      <c r="DU5" s="3013"/>
      <c r="DV5" s="3013"/>
      <c r="DW5" s="3013"/>
      <c r="DX5" s="3013"/>
      <c r="DY5" s="3013"/>
      <c r="DZ5" s="3013"/>
      <c r="EA5" s="3013"/>
      <c r="EB5" s="3013"/>
      <c r="EC5" s="3013"/>
      <c r="ED5" s="3013"/>
      <c r="EE5" s="3013"/>
      <c r="EF5" s="3013"/>
      <c r="EG5" s="3013"/>
      <c r="EH5" s="3013"/>
      <c r="EI5" s="3013"/>
      <c r="EJ5" s="3013"/>
      <c r="EK5" s="3013"/>
      <c r="EL5" s="3013"/>
      <c r="EM5" s="3013"/>
      <c r="EN5" s="3013"/>
      <c r="EO5" s="3013"/>
      <c r="EP5" s="3013"/>
      <c r="EQ5" s="3013"/>
      <c r="ER5" s="3013"/>
      <c r="ES5" s="3013"/>
      <c r="ET5" s="3013"/>
      <c r="EU5" s="3013"/>
      <c r="EV5" s="3013"/>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09"/>
      <c r="IE5" s="3009"/>
      <c r="IF5" s="3009"/>
      <c r="IG5" s="3009"/>
      <c r="IH5" s="3009"/>
      <c r="II5" s="3009"/>
      <c r="IJ5" s="3009"/>
      <c r="IK5" s="3009"/>
      <c r="IL5" s="3009"/>
      <c r="IM5" s="3009"/>
      <c r="IN5" s="3009"/>
      <c r="IO5" s="3009"/>
      <c r="IP5" s="3009"/>
      <c r="IQ5" s="3009"/>
      <c r="IR5" s="3009"/>
      <c r="IS5" s="3009"/>
      <c r="IT5" s="3009"/>
      <c r="IU5" s="3009"/>
      <c r="IV5" s="3009"/>
      <c r="IW5" s="3009"/>
      <c r="IX5" s="3009"/>
      <c r="IY5" s="3009"/>
      <c r="IZ5" s="3009"/>
      <c r="JA5" s="3009"/>
      <c r="JB5" s="3009"/>
      <c r="JC5" s="3009"/>
      <c r="JD5" s="3009"/>
      <c r="JE5" s="3009"/>
      <c r="JF5" s="3009"/>
      <c r="JG5" s="3009"/>
      <c r="JH5" s="3018" t="s">
        <v>3440</v>
      </c>
      <c r="JI5" s="3018" t="s">
        <v>3441</v>
      </c>
      <c r="JJ5" s="3018" t="s">
        <v>3442</v>
      </c>
      <c r="JK5" s="3018" t="s">
        <v>3443</v>
      </c>
      <c r="JL5" s="3018" t="s">
        <v>3444</v>
      </c>
      <c r="JM5" s="3009" t="s">
        <v>3454</v>
      </c>
      <c r="JN5" s="3009" t="s">
        <v>3456</v>
      </c>
      <c r="JO5" s="3009" t="s">
        <v>3457</v>
      </c>
      <c r="JP5" s="3009" t="s">
        <v>3458</v>
      </c>
      <c r="JQ5" s="3009"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4"/>
      <c r="B6" s="30" t="s">
        <v>1818</v>
      </c>
      <c r="D6" s="1"/>
      <c r="E6" s="4"/>
      <c r="F6" s="2285" t="s">
        <v>3014</v>
      </c>
      <c r="G6" s="1585" t="s">
        <v>3690</v>
      </c>
      <c r="H6" s="3011" t="s">
        <v>3920</v>
      </c>
      <c r="I6" s="1585" t="s">
        <v>807</v>
      </c>
      <c r="J6" s="1585" t="s">
        <v>3693</v>
      </c>
      <c r="K6" s="3007"/>
      <c r="L6" s="3007"/>
      <c r="M6" s="3015" t="str">
        <f>'Part I-Project Information'!$O$40</f>
        <v>Atlanta-Sandy Springs-Marietta</v>
      </c>
      <c r="N6" s="3015"/>
      <c r="O6" s="928">
        <f>VLOOKUP('Part I-Project Information'!$O$40,'DCA Underwriting Assumptions'!$C$155:$D$265,2)</f>
        <v>69700</v>
      </c>
      <c r="P6" s="3011"/>
      <c r="Q6" s="1583"/>
      <c r="R6" s="97"/>
      <c r="S6" s="3016" t="s">
        <v>2715</v>
      </c>
      <c r="T6" s="3016"/>
      <c r="W6" s="3010"/>
      <c r="X6" s="3010"/>
      <c r="Y6" s="3010"/>
      <c r="Z6" s="3010"/>
      <c r="AA6" s="3010"/>
      <c r="AB6" s="3010"/>
      <c r="AC6" s="3010"/>
      <c r="AD6" s="3010"/>
      <c r="AE6" s="3010"/>
      <c r="AF6" s="3010"/>
      <c r="AG6" s="3010"/>
      <c r="AH6" s="3010"/>
      <c r="AI6" s="3010"/>
      <c r="AJ6" s="3010"/>
      <c r="AK6" s="3010"/>
      <c r="AL6" s="3010"/>
      <c r="AM6" s="3010"/>
      <c r="AN6" s="3010"/>
      <c r="AO6" s="3010"/>
      <c r="AP6" s="3010"/>
      <c r="AQ6" s="3010"/>
      <c r="AR6" s="3010"/>
      <c r="AS6" s="3010"/>
      <c r="AT6" s="3010"/>
      <c r="AU6" s="3010"/>
      <c r="AV6" s="3010"/>
      <c r="AW6" s="3010"/>
      <c r="AX6" s="3010"/>
      <c r="AY6" s="3010"/>
      <c r="AZ6" s="3010"/>
      <c r="BA6" s="3010"/>
      <c r="BB6" s="3010"/>
      <c r="BC6" s="3010"/>
      <c r="BD6" s="3010"/>
      <c r="BE6" s="3010"/>
      <c r="BF6" s="3010"/>
      <c r="BG6" s="3010"/>
      <c r="BH6" s="3010"/>
      <c r="BI6" s="3010"/>
      <c r="BJ6" s="3010"/>
      <c r="BK6" s="3010"/>
      <c r="BL6" s="3010"/>
      <c r="BM6" s="3010"/>
      <c r="BN6" s="3010"/>
      <c r="BO6" s="3010"/>
      <c r="BP6" s="3010"/>
      <c r="BQ6" s="3010"/>
      <c r="BR6" s="3010"/>
      <c r="BS6" s="3010"/>
      <c r="BT6" s="3010"/>
      <c r="BU6" s="3010"/>
      <c r="BV6" s="3010"/>
      <c r="BW6" s="3010"/>
      <c r="BX6" s="3010"/>
      <c r="BY6" s="3010"/>
      <c r="BZ6" s="3010"/>
      <c r="CA6" s="3010"/>
      <c r="CB6" s="3010"/>
      <c r="CC6" s="3010"/>
      <c r="CD6" s="3010"/>
      <c r="CE6" s="3013"/>
      <c r="CF6" s="3013"/>
      <c r="CG6" s="3013"/>
      <c r="CH6" s="3013"/>
      <c r="CI6" s="3013"/>
      <c r="CJ6" s="3013"/>
      <c r="CK6" s="3013"/>
      <c r="CL6" s="3013"/>
      <c r="CM6" s="3013"/>
      <c r="CN6" s="3013"/>
      <c r="CO6" s="3013"/>
      <c r="CP6" s="3013"/>
      <c r="CQ6" s="3013"/>
      <c r="CR6" s="3013"/>
      <c r="CS6" s="3013"/>
      <c r="CT6" s="3013"/>
      <c r="CU6" s="3013"/>
      <c r="CV6" s="3013"/>
      <c r="CW6" s="3013"/>
      <c r="CX6" s="3013"/>
      <c r="CY6" s="3013"/>
      <c r="CZ6" s="3013"/>
      <c r="DA6" s="3013"/>
      <c r="DB6" s="3013"/>
      <c r="DC6" s="3013"/>
      <c r="DD6" s="3013"/>
      <c r="DE6" s="3013"/>
      <c r="DF6" s="3013"/>
      <c r="DG6" s="3013"/>
      <c r="DH6" s="3013"/>
      <c r="DI6" s="3013"/>
      <c r="DJ6" s="3013"/>
      <c r="DK6" s="3013"/>
      <c r="DL6" s="3013"/>
      <c r="DM6" s="3013"/>
      <c r="DN6" s="3013"/>
      <c r="DO6" s="3013"/>
      <c r="DP6" s="3013"/>
      <c r="DQ6" s="3013"/>
      <c r="DR6" s="3013"/>
      <c r="DS6" s="3013"/>
      <c r="DT6" s="3013"/>
      <c r="DU6" s="3013"/>
      <c r="DV6" s="3013"/>
      <c r="DW6" s="3013"/>
      <c r="DX6" s="3013"/>
      <c r="DY6" s="3013"/>
      <c r="DZ6" s="3013"/>
      <c r="EA6" s="3013"/>
      <c r="EB6" s="3013"/>
      <c r="EC6" s="3013"/>
      <c r="ED6" s="3013"/>
      <c r="EE6" s="3013"/>
      <c r="EF6" s="3013"/>
      <c r="EG6" s="3013"/>
      <c r="EH6" s="3013"/>
      <c r="EI6" s="3013"/>
      <c r="EJ6" s="3013"/>
      <c r="EK6" s="3013"/>
      <c r="EL6" s="3013"/>
      <c r="EM6" s="3013"/>
      <c r="EN6" s="3013"/>
      <c r="EO6" s="3013"/>
      <c r="EP6" s="3013"/>
      <c r="EQ6" s="3013"/>
      <c r="ER6" s="3013"/>
      <c r="ES6" s="3013"/>
      <c r="ET6" s="3013"/>
      <c r="EU6" s="3013"/>
      <c r="EV6" s="3013"/>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09"/>
      <c r="IE6" s="3009"/>
      <c r="IF6" s="3009"/>
      <c r="IG6" s="3009"/>
      <c r="IH6" s="3009"/>
      <c r="II6" s="3009"/>
      <c r="IJ6" s="3009"/>
      <c r="IK6" s="3009"/>
      <c r="IL6" s="3009"/>
      <c r="IM6" s="3009"/>
      <c r="IN6" s="3009"/>
      <c r="IO6" s="3009"/>
      <c r="IP6" s="3009"/>
      <c r="IQ6" s="3009"/>
      <c r="IR6" s="3009"/>
      <c r="IS6" s="3009"/>
      <c r="IT6" s="3009"/>
      <c r="IU6" s="3009"/>
      <c r="IV6" s="3009"/>
      <c r="IW6" s="3009"/>
      <c r="IX6" s="3009"/>
      <c r="IY6" s="3009"/>
      <c r="IZ6" s="3009"/>
      <c r="JA6" s="3009"/>
      <c r="JB6" s="3009"/>
      <c r="JC6" s="3009"/>
      <c r="JD6" s="3009"/>
      <c r="JE6" s="3009"/>
      <c r="JF6" s="3009"/>
      <c r="JG6" s="3009"/>
      <c r="JH6" s="3018"/>
      <c r="JI6" s="3018"/>
      <c r="JJ6" s="3018"/>
      <c r="JK6" s="3018"/>
      <c r="JL6" s="3018"/>
      <c r="JM6" s="3009"/>
      <c r="JN6" s="3009"/>
      <c r="JO6" s="3009"/>
      <c r="JP6" s="3009"/>
      <c r="JQ6" s="3009"/>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4"/>
      <c r="B7" s="4"/>
      <c r="C7" s="1"/>
      <c r="D7" s="4"/>
      <c r="E7" s="1"/>
      <c r="F7" s="1"/>
      <c r="G7" s="1585" t="s">
        <v>3691</v>
      </c>
      <c r="H7" s="3011"/>
      <c r="I7" s="3029" t="s">
        <v>3879</v>
      </c>
      <c r="J7" s="1585" t="s">
        <v>3694</v>
      </c>
      <c r="K7" s="919"/>
      <c r="L7" s="919"/>
      <c r="M7" s="1"/>
      <c r="P7" s="3011"/>
      <c r="Q7" s="1583"/>
      <c r="R7" s="919"/>
      <c r="S7" s="920"/>
      <c r="T7" s="925" t="s">
        <v>2712</v>
      </c>
      <c r="U7" s="431"/>
      <c r="V7" s="432"/>
      <c r="W7" s="3010"/>
      <c r="X7" s="3010"/>
      <c r="Y7" s="3010"/>
      <c r="Z7" s="3010"/>
      <c r="AA7" s="3010"/>
      <c r="AB7" s="3010"/>
      <c r="AC7" s="3010"/>
      <c r="AD7" s="3010"/>
      <c r="AE7" s="3010"/>
      <c r="AF7" s="3010"/>
      <c r="AG7" s="3010"/>
      <c r="AH7" s="3010"/>
      <c r="AI7" s="3010"/>
      <c r="AJ7" s="3010"/>
      <c r="AK7" s="3010"/>
      <c r="AL7" s="3010"/>
      <c r="AM7" s="3010"/>
      <c r="AN7" s="3010"/>
      <c r="AO7" s="3010"/>
      <c r="AP7" s="3010"/>
      <c r="AQ7" s="3010"/>
      <c r="AR7" s="3010"/>
      <c r="AS7" s="3010"/>
      <c r="AT7" s="3010"/>
      <c r="AU7" s="3010"/>
      <c r="AV7" s="3010"/>
      <c r="AW7" s="3010"/>
      <c r="AX7" s="3010"/>
      <c r="AY7" s="3010"/>
      <c r="AZ7" s="3010"/>
      <c r="BA7" s="3010"/>
      <c r="BB7" s="3010"/>
      <c r="BC7" s="3010"/>
      <c r="BD7" s="3010"/>
      <c r="BE7" s="3010"/>
      <c r="BF7" s="3010"/>
      <c r="BG7" s="3010"/>
      <c r="BH7" s="3010"/>
      <c r="BI7" s="3010"/>
      <c r="BJ7" s="3010"/>
      <c r="BK7" s="3010"/>
      <c r="BL7" s="3010"/>
      <c r="BM7" s="3010"/>
      <c r="BN7" s="3010"/>
      <c r="BO7" s="3010"/>
      <c r="BP7" s="3010"/>
      <c r="BQ7" s="3010"/>
      <c r="BR7" s="3010"/>
      <c r="BS7" s="3010"/>
      <c r="BT7" s="3010"/>
      <c r="BU7" s="3010"/>
      <c r="BV7" s="3010"/>
      <c r="BW7" s="3010"/>
      <c r="BX7" s="3010"/>
      <c r="BY7" s="3010"/>
      <c r="BZ7" s="3010"/>
      <c r="CA7" s="3010"/>
      <c r="CB7" s="3010"/>
      <c r="CC7" s="3010"/>
      <c r="CD7" s="3010"/>
      <c r="CE7" s="3013"/>
      <c r="CF7" s="3013"/>
      <c r="CG7" s="3013"/>
      <c r="CH7" s="3013"/>
      <c r="CI7" s="3013"/>
      <c r="CJ7" s="3013"/>
      <c r="CK7" s="3013"/>
      <c r="CL7" s="3013"/>
      <c r="CM7" s="3013"/>
      <c r="CN7" s="3013"/>
      <c r="CO7" s="3013"/>
      <c r="CP7" s="3013"/>
      <c r="CQ7" s="3013"/>
      <c r="CR7" s="3013"/>
      <c r="CS7" s="3013"/>
      <c r="CT7" s="3013"/>
      <c r="CU7" s="3013"/>
      <c r="CV7" s="3013"/>
      <c r="CW7" s="3013"/>
      <c r="CX7" s="3013"/>
      <c r="CY7" s="3013"/>
      <c r="CZ7" s="3013"/>
      <c r="DA7" s="3013"/>
      <c r="DB7" s="3013"/>
      <c r="DC7" s="3013"/>
      <c r="DD7" s="3013"/>
      <c r="DE7" s="3013"/>
      <c r="DF7" s="3013"/>
      <c r="DG7" s="3013"/>
      <c r="DH7" s="3013"/>
      <c r="DI7" s="3013"/>
      <c r="DJ7" s="3013"/>
      <c r="DK7" s="3013"/>
      <c r="DL7" s="3013"/>
      <c r="DM7" s="3013"/>
      <c r="DN7" s="3013"/>
      <c r="DO7" s="3013"/>
      <c r="DP7" s="3013"/>
      <c r="DQ7" s="3013"/>
      <c r="DR7" s="3013"/>
      <c r="DS7" s="3013"/>
      <c r="DT7" s="3013"/>
      <c r="DU7" s="3013"/>
      <c r="DV7" s="3013"/>
      <c r="DW7" s="3013"/>
      <c r="DX7" s="3013"/>
      <c r="DY7" s="3013"/>
      <c r="DZ7" s="3013"/>
      <c r="EA7" s="3013"/>
      <c r="EB7" s="3013"/>
      <c r="EC7" s="3013"/>
      <c r="ED7" s="3013"/>
      <c r="EE7" s="3013"/>
      <c r="EF7" s="3013"/>
      <c r="EG7" s="3013"/>
      <c r="EH7" s="3013"/>
      <c r="EI7" s="3013"/>
      <c r="EJ7" s="3013"/>
      <c r="EK7" s="3013"/>
      <c r="EL7" s="3013"/>
      <c r="EM7" s="3013"/>
      <c r="EN7" s="3013"/>
      <c r="EO7" s="3013"/>
      <c r="EP7" s="3013"/>
      <c r="EQ7" s="3013"/>
      <c r="ER7" s="3013"/>
      <c r="ES7" s="3013"/>
      <c r="ET7" s="3013"/>
      <c r="EU7" s="3013"/>
      <c r="EV7" s="3013"/>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09"/>
      <c r="IE7" s="3009"/>
      <c r="IF7" s="3009"/>
      <c r="IG7" s="3009"/>
      <c r="IH7" s="3009"/>
      <c r="II7" s="3009"/>
      <c r="IJ7" s="3009"/>
      <c r="IK7" s="3009"/>
      <c r="IL7" s="3009"/>
      <c r="IM7" s="3009"/>
      <c r="IN7" s="3009"/>
      <c r="IO7" s="3009"/>
      <c r="IP7" s="3009"/>
      <c r="IQ7" s="3009"/>
      <c r="IR7" s="3009"/>
      <c r="IS7" s="3009"/>
      <c r="IT7" s="3009"/>
      <c r="IU7" s="3009"/>
      <c r="IV7" s="3009"/>
      <c r="IW7" s="3009"/>
      <c r="IX7" s="3009"/>
      <c r="IY7" s="3009"/>
      <c r="IZ7" s="3009"/>
      <c r="JA7" s="3009"/>
      <c r="JB7" s="3009"/>
      <c r="JC7" s="3009"/>
      <c r="JD7" s="3009"/>
      <c r="JE7" s="3009"/>
      <c r="JF7" s="3009"/>
      <c r="JG7" s="3009"/>
      <c r="JH7" s="3018"/>
      <c r="JI7" s="3018"/>
      <c r="JJ7" s="3018"/>
      <c r="JK7" s="3018"/>
      <c r="JL7" s="3018"/>
      <c r="JM7" s="3009"/>
      <c r="JN7" s="3009"/>
      <c r="JO7" s="3009"/>
      <c r="JP7" s="3009"/>
      <c r="JQ7" s="3009"/>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4"/>
      <c r="B8" s="1158" t="s">
        <v>1490</v>
      </c>
      <c r="C8" s="1585" t="s">
        <v>173</v>
      </c>
      <c r="D8" s="1585" t="s">
        <v>550</v>
      </c>
      <c r="E8" s="1585" t="s">
        <v>1488</v>
      </c>
      <c r="F8" s="1585" t="s">
        <v>1488</v>
      </c>
      <c r="G8" s="1585" t="s">
        <v>1490</v>
      </c>
      <c r="H8" s="1585" t="s">
        <v>3691</v>
      </c>
      <c r="I8" s="3029"/>
      <c r="J8" s="1585" t="s">
        <v>2422</v>
      </c>
      <c r="K8" s="3017" t="s">
        <v>146</v>
      </c>
      <c r="L8" s="3017"/>
      <c r="M8" s="1585" t="s">
        <v>2383</v>
      </c>
      <c r="N8" s="1585" t="s">
        <v>537</v>
      </c>
      <c r="O8" s="1585" t="s">
        <v>385</v>
      </c>
      <c r="P8" s="3011"/>
      <c r="Q8" s="3017" t="s">
        <v>3598</v>
      </c>
      <c r="R8" s="3017"/>
      <c r="S8" s="1585" t="s">
        <v>2711</v>
      </c>
      <c r="T8" s="1585" t="s">
        <v>2713</v>
      </c>
      <c r="U8" s="433"/>
      <c r="V8" s="434"/>
      <c r="W8" s="3010"/>
      <c r="X8" s="3010"/>
      <c r="Y8" s="3010"/>
      <c r="Z8" s="3010"/>
      <c r="AA8" s="3010"/>
      <c r="AB8" s="3010"/>
      <c r="AC8" s="3010"/>
      <c r="AD8" s="3010"/>
      <c r="AE8" s="3010"/>
      <c r="AF8" s="3010"/>
      <c r="AG8" s="3010"/>
      <c r="AH8" s="3010"/>
      <c r="AI8" s="3010"/>
      <c r="AJ8" s="3010"/>
      <c r="AK8" s="3010"/>
      <c r="AL8" s="3010"/>
      <c r="AM8" s="3010"/>
      <c r="AN8" s="3010"/>
      <c r="AO8" s="3010"/>
      <c r="AP8" s="3010"/>
      <c r="AQ8" s="3010"/>
      <c r="AR8" s="3010"/>
      <c r="AS8" s="3010"/>
      <c r="AT8" s="3010"/>
      <c r="AU8" s="3010"/>
      <c r="AV8" s="3010"/>
      <c r="AW8" s="3010"/>
      <c r="AX8" s="3010"/>
      <c r="AY8" s="3010"/>
      <c r="AZ8" s="3010"/>
      <c r="BA8" s="3010"/>
      <c r="BB8" s="3010"/>
      <c r="BC8" s="3010"/>
      <c r="BD8" s="3010"/>
      <c r="BE8" s="3010"/>
      <c r="BF8" s="3010"/>
      <c r="BG8" s="3010"/>
      <c r="BH8" s="3010"/>
      <c r="BI8" s="3010"/>
      <c r="BJ8" s="3010"/>
      <c r="BK8" s="3010"/>
      <c r="BL8" s="3010"/>
      <c r="BM8" s="3010"/>
      <c r="BN8" s="3010"/>
      <c r="BO8" s="3010"/>
      <c r="BP8" s="3010"/>
      <c r="BQ8" s="3010"/>
      <c r="BR8" s="3010"/>
      <c r="BS8" s="3010"/>
      <c r="BT8" s="3010"/>
      <c r="BU8" s="3010"/>
      <c r="BV8" s="3010"/>
      <c r="BW8" s="3010"/>
      <c r="BX8" s="3010"/>
      <c r="BY8" s="3010"/>
      <c r="BZ8" s="3010"/>
      <c r="CA8" s="3010"/>
      <c r="CB8" s="3010"/>
      <c r="CC8" s="3010"/>
      <c r="CD8" s="3010"/>
      <c r="CE8" s="3013"/>
      <c r="CF8" s="3013"/>
      <c r="CG8" s="3013"/>
      <c r="CH8" s="3013"/>
      <c r="CI8" s="3013"/>
      <c r="CJ8" s="3013"/>
      <c r="CK8" s="3013"/>
      <c r="CL8" s="3013"/>
      <c r="CM8" s="3013"/>
      <c r="CN8" s="3013"/>
      <c r="CO8" s="3013"/>
      <c r="CP8" s="3013"/>
      <c r="CQ8" s="3013"/>
      <c r="CR8" s="3013"/>
      <c r="CS8" s="3013"/>
      <c r="CT8" s="3013"/>
      <c r="CU8" s="3013"/>
      <c r="CV8" s="3013"/>
      <c r="CW8" s="3013"/>
      <c r="CX8" s="3013"/>
      <c r="CY8" s="3013"/>
      <c r="CZ8" s="3013"/>
      <c r="DA8" s="3013"/>
      <c r="DB8" s="3013"/>
      <c r="DC8" s="3013"/>
      <c r="DD8" s="3013"/>
      <c r="DE8" s="3013"/>
      <c r="DF8" s="3013"/>
      <c r="DG8" s="3013"/>
      <c r="DH8" s="3013"/>
      <c r="DI8" s="3013"/>
      <c r="DJ8" s="3013"/>
      <c r="DK8" s="3013"/>
      <c r="DL8" s="3013"/>
      <c r="DM8" s="3013"/>
      <c r="DN8" s="3013"/>
      <c r="DO8" s="3013"/>
      <c r="DP8" s="3013"/>
      <c r="DQ8" s="3013"/>
      <c r="DR8" s="3013"/>
      <c r="DS8" s="3013"/>
      <c r="DT8" s="3013"/>
      <c r="DU8" s="3013"/>
      <c r="DV8" s="3013"/>
      <c r="DW8" s="3013"/>
      <c r="DX8" s="3013"/>
      <c r="DY8" s="3013"/>
      <c r="DZ8" s="3013"/>
      <c r="EA8" s="3013"/>
      <c r="EB8" s="3013"/>
      <c r="EC8" s="3013"/>
      <c r="ED8" s="3013"/>
      <c r="EE8" s="3013"/>
      <c r="EF8" s="3013"/>
      <c r="EG8" s="3013"/>
      <c r="EH8" s="3013"/>
      <c r="EI8" s="3013"/>
      <c r="EJ8" s="3013"/>
      <c r="EK8" s="3013"/>
      <c r="EL8" s="3013"/>
      <c r="EM8" s="3013"/>
      <c r="EN8" s="3013"/>
      <c r="EO8" s="3013"/>
      <c r="EP8" s="3013"/>
      <c r="EQ8" s="3013"/>
      <c r="ER8" s="3013"/>
      <c r="ES8" s="3013"/>
      <c r="ET8" s="3013"/>
      <c r="EU8" s="3013"/>
      <c r="EV8" s="3013"/>
      <c r="EW8" s="3013" t="s">
        <v>1474</v>
      </c>
      <c r="EX8" s="473" t="s">
        <v>2456</v>
      </c>
      <c r="EY8" s="473" t="s">
        <v>2457</v>
      </c>
      <c r="EZ8" s="473" t="s">
        <v>2458</v>
      </c>
      <c r="FA8" s="473" t="s">
        <v>2459</v>
      </c>
      <c r="FB8" s="3009" t="s">
        <v>2513</v>
      </c>
      <c r="FC8" s="3009" t="s">
        <v>2513</v>
      </c>
      <c r="FD8" s="3009" t="s">
        <v>2513</v>
      </c>
      <c r="FE8" s="3009" t="s">
        <v>2513</v>
      </c>
      <c r="FF8" s="3009" t="s">
        <v>2513</v>
      </c>
      <c r="FG8" s="3009" t="s">
        <v>3388</v>
      </c>
      <c r="FH8" s="3009" t="s">
        <v>3388</v>
      </c>
      <c r="FI8" s="3009" t="s">
        <v>3388</v>
      </c>
      <c r="FJ8" s="3009" t="s">
        <v>3388</v>
      </c>
      <c r="FK8" s="3009" t="s">
        <v>3388</v>
      </c>
      <c r="FL8" s="473" t="s">
        <v>573</v>
      </c>
      <c r="FM8" s="473" t="s">
        <v>2456</v>
      </c>
      <c r="FN8" s="473" t="s">
        <v>2457</v>
      </c>
      <c r="FO8" s="473" t="s">
        <v>2458</v>
      </c>
      <c r="FP8" s="473" t="s">
        <v>2459</v>
      </c>
      <c r="FQ8" s="473" t="s">
        <v>573</v>
      </c>
      <c r="FR8" s="473" t="s">
        <v>2456</v>
      </c>
      <c r="FS8" s="473" t="s">
        <v>2457</v>
      </c>
      <c r="FT8" s="473" t="s">
        <v>2458</v>
      </c>
      <c r="FU8" s="473" t="s">
        <v>2459</v>
      </c>
      <c r="FV8" s="3009" t="s">
        <v>2515</v>
      </c>
      <c r="FW8" s="3009" t="s">
        <v>2515</v>
      </c>
      <c r="FX8" s="3009" t="s">
        <v>2515</v>
      </c>
      <c r="FY8" s="3009" t="s">
        <v>2515</v>
      </c>
      <c r="FZ8" s="3009" t="s">
        <v>2515</v>
      </c>
      <c r="GA8" s="3009" t="s">
        <v>3384</v>
      </c>
      <c r="GB8" s="3009" t="s">
        <v>3384</v>
      </c>
      <c r="GC8" s="3009" t="s">
        <v>3384</v>
      </c>
      <c r="GD8" s="3009" t="s">
        <v>3384</v>
      </c>
      <c r="GE8" s="3009" t="s">
        <v>3384</v>
      </c>
      <c r="GF8" s="3009" t="s">
        <v>360</v>
      </c>
      <c r="GG8" s="3009" t="s">
        <v>360</v>
      </c>
      <c r="GH8" s="3009" t="s">
        <v>360</v>
      </c>
      <c r="GI8" s="3009" t="s">
        <v>360</v>
      </c>
      <c r="GJ8" s="3009" t="s">
        <v>360</v>
      </c>
      <c r="GK8" s="3009" t="s">
        <v>3383</v>
      </c>
      <c r="GL8" s="3009" t="s">
        <v>3383</v>
      </c>
      <c r="GM8" s="3009" t="s">
        <v>3383</v>
      </c>
      <c r="GN8" s="3009" t="s">
        <v>3383</v>
      </c>
      <c r="GO8" s="3009" t="s">
        <v>3383</v>
      </c>
      <c r="GP8" s="3009" t="s">
        <v>361</v>
      </c>
      <c r="GQ8" s="3009" t="s">
        <v>361</v>
      </c>
      <c r="GR8" s="3009" t="s">
        <v>361</v>
      </c>
      <c r="GS8" s="3009" t="s">
        <v>361</v>
      </c>
      <c r="GT8" s="3009" t="s">
        <v>361</v>
      </c>
      <c r="GU8" s="3009" t="s">
        <v>3382</v>
      </c>
      <c r="GV8" s="3009" t="s">
        <v>3382</v>
      </c>
      <c r="GW8" s="3009" t="s">
        <v>3382</v>
      </c>
      <c r="GX8" s="3009" t="s">
        <v>3382</v>
      </c>
      <c r="GY8" s="3009" t="s">
        <v>3382</v>
      </c>
      <c r="GZ8" s="3009" t="s">
        <v>362</v>
      </c>
      <c r="HA8" s="3009" t="s">
        <v>362</v>
      </c>
      <c r="HB8" s="3009" t="s">
        <v>362</v>
      </c>
      <c r="HC8" s="3009" t="s">
        <v>362</v>
      </c>
      <c r="HD8" s="3009" t="s">
        <v>362</v>
      </c>
      <c r="HE8" s="3009" t="s">
        <v>3385</v>
      </c>
      <c r="HF8" s="3009" t="s">
        <v>3385</v>
      </c>
      <c r="HG8" s="3009" t="s">
        <v>3385</v>
      </c>
      <c r="HH8" s="3009" t="s">
        <v>3385</v>
      </c>
      <c r="HI8" s="3009" t="s">
        <v>3385</v>
      </c>
      <c r="HJ8" s="3009" t="s">
        <v>363</v>
      </c>
      <c r="HK8" s="3009" t="s">
        <v>363</v>
      </c>
      <c r="HL8" s="3009" t="s">
        <v>363</v>
      </c>
      <c r="HM8" s="3009" t="s">
        <v>363</v>
      </c>
      <c r="HN8" s="3009" t="s">
        <v>363</v>
      </c>
      <c r="HO8" s="3009" t="s">
        <v>3386</v>
      </c>
      <c r="HP8" s="3009" t="s">
        <v>3386</v>
      </c>
      <c r="HQ8" s="3009" t="s">
        <v>3386</v>
      </c>
      <c r="HR8" s="3009" t="s">
        <v>3386</v>
      </c>
      <c r="HS8" s="3009" t="s">
        <v>3386</v>
      </c>
      <c r="HT8" s="3009" t="s">
        <v>1473</v>
      </c>
      <c r="HU8" s="3009" t="s">
        <v>1473</v>
      </c>
      <c r="HV8" s="3009" t="s">
        <v>1473</v>
      </c>
      <c r="HW8" s="3009" t="s">
        <v>1473</v>
      </c>
      <c r="HX8" s="3009" t="s">
        <v>1473</v>
      </c>
      <c r="HY8" s="3009" t="s">
        <v>3387</v>
      </c>
      <c r="HZ8" s="3009" t="s">
        <v>3387</v>
      </c>
      <c r="IA8" s="3009" t="s">
        <v>3387</v>
      </c>
      <c r="IB8" s="3009" t="s">
        <v>3387</v>
      </c>
      <c r="IC8" s="3009" t="s">
        <v>3387</v>
      </c>
      <c r="ID8" s="3009"/>
      <c r="IE8" s="3009"/>
      <c r="IF8" s="3009"/>
      <c r="IG8" s="3009"/>
      <c r="IH8" s="3009"/>
      <c r="II8" s="3009"/>
      <c r="IJ8" s="3009"/>
      <c r="IK8" s="3009"/>
      <c r="IL8" s="3009"/>
      <c r="IM8" s="3009"/>
      <c r="IN8" s="3009"/>
      <c r="IO8" s="3009"/>
      <c r="IP8" s="3009"/>
      <c r="IQ8" s="3009"/>
      <c r="IR8" s="3009"/>
      <c r="IS8" s="3009"/>
      <c r="IT8" s="3009"/>
      <c r="IU8" s="3009"/>
      <c r="IV8" s="3009"/>
      <c r="IW8" s="3009"/>
      <c r="IX8" s="3009"/>
      <c r="IY8" s="3009"/>
      <c r="IZ8" s="3009"/>
      <c r="JA8" s="3009"/>
      <c r="JB8" s="3009"/>
      <c r="JC8" s="3009"/>
      <c r="JD8" s="3009"/>
      <c r="JE8" s="3009"/>
      <c r="JF8" s="3009"/>
      <c r="JG8" s="3009"/>
      <c r="JH8" s="3018"/>
      <c r="JI8" s="3018"/>
      <c r="JJ8" s="3018"/>
      <c r="JK8" s="3018"/>
      <c r="JL8" s="3018"/>
      <c r="JM8" s="3009"/>
      <c r="JN8" s="3009"/>
      <c r="JO8" s="3009"/>
      <c r="JP8" s="3009"/>
      <c r="JQ8" s="3009"/>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4"/>
      <c r="B9" s="1158" t="s">
        <v>1308</v>
      </c>
      <c r="C9" s="1585" t="s">
        <v>172</v>
      </c>
      <c r="D9" s="1585" t="s">
        <v>174</v>
      </c>
      <c r="E9" s="1585" t="s">
        <v>1489</v>
      </c>
      <c r="F9" s="1585" t="s">
        <v>1291</v>
      </c>
      <c r="G9" s="1585" t="s">
        <v>3692</v>
      </c>
      <c r="H9" s="1585" t="s">
        <v>1490</v>
      </c>
      <c r="I9" s="3030"/>
      <c r="J9" s="465" t="s">
        <v>352</v>
      </c>
      <c r="K9" s="1585" t="s">
        <v>1542</v>
      </c>
      <c r="L9" s="1585" t="s">
        <v>544</v>
      </c>
      <c r="M9" s="1585" t="s">
        <v>1488</v>
      </c>
      <c r="N9" s="1585" t="s">
        <v>3337</v>
      </c>
      <c r="O9" s="1585" t="s">
        <v>386</v>
      </c>
      <c r="P9" s="3012"/>
      <c r="Q9" s="1585" t="s">
        <v>3599</v>
      </c>
      <c r="R9" s="1585" t="s">
        <v>1050</v>
      </c>
      <c r="S9" s="1585" t="s">
        <v>1490</v>
      </c>
      <c r="T9" s="1585" t="s">
        <v>2714</v>
      </c>
      <c r="U9" s="2709" t="s">
        <v>1859</v>
      </c>
      <c r="V9" s="2709"/>
      <c r="W9" s="3010"/>
      <c r="X9" s="3010"/>
      <c r="Y9" s="3010"/>
      <c r="Z9" s="3010"/>
      <c r="AA9" s="3010"/>
      <c r="AB9" s="3010"/>
      <c r="AC9" s="3010"/>
      <c r="AD9" s="3010"/>
      <c r="AE9" s="3010"/>
      <c r="AF9" s="3010"/>
      <c r="AG9" s="3010"/>
      <c r="AH9" s="3010"/>
      <c r="AI9" s="3010"/>
      <c r="AJ9" s="3010"/>
      <c r="AK9" s="3010"/>
      <c r="AL9" s="3010"/>
      <c r="AM9" s="3010"/>
      <c r="AN9" s="3010"/>
      <c r="AO9" s="3010"/>
      <c r="AP9" s="3010"/>
      <c r="AQ9" s="3010"/>
      <c r="AR9" s="3010"/>
      <c r="AS9" s="3010"/>
      <c r="AT9" s="3010"/>
      <c r="AU9" s="3010"/>
      <c r="AV9" s="3010"/>
      <c r="AW9" s="3010"/>
      <c r="AX9" s="3010"/>
      <c r="AY9" s="3010"/>
      <c r="AZ9" s="3010"/>
      <c r="BA9" s="3010"/>
      <c r="BB9" s="3010"/>
      <c r="BC9" s="3010"/>
      <c r="BD9" s="3010"/>
      <c r="BE9" s="3010"/>
      <c r="BF9" s="3010"/>
      <c r="BG9" s="3010"/>
      <c r="BH9" s="3010"/>
      <c r="BI9" s="3010"/>
      <c r="BJ9" s="3010"/>
      <c r="BK9" s="3010"/>
      <c r="BL9" s="3010"/>
      <c r="BM9" s="3010"/>
      <c r="BN9" s="3010"/>
      <c r="BO9" s="3010"/>
      <c r="BP9" s="3010"/>
      <c r="BQ9" s="3010"/>
      <c r="BR9" s="3010"/>
      <c r="BS9" s="3010"/>
      <c r="BT9" s="3010"/>
      <c r="BU9" s="3010"/>
      <c r="BV9" s="3010"/>
      <c r="BW9" s="3010"/>
      <c r="BX9" s="3010"/>
      <c r="BY9" s="3010"/>
      <c r="BZ9" s="3010"/>
      <c r="CA9" s="3010"/>
      <c r="CB9" s="3010"/>
      <c r="CC9" s="3010"/>
      <c r="CD9" s="3010"/>
      <c r="CE9" s="3013"/>
      <c r="CF9" s="3013"/>
      <c r="CG9" s="3013"/>
      <c r="CH9" s="3013"/>
      <c r="CI9" s="3013"/>
      <c r="CJ9" s="3013"/>
      <c r="CK9" s="3013"/>
      <c r="CL9" s="3013"/>
      <c r="CM9" s="3013"/>
      <c r="CN9" s="3013"/>
      <c r="CO9" s="3013"/>
      <c r="CP9" s="3013"/>
      <c r="CQ9" s="3013"/>
      <c r="CR9" s="3013"/>
      <c r="CS9" s="3013"/>
      <c r="CT9" s="3013"/>
      <c r="CU9" s="3013"/>
      <c r="CV9" s="3013"/>
      <c r="CW9" s="3013"/>
      <c r="CX9" s="3013"/>
      <c r="CY9" s="3013"/>
      <c r="CZ9" s="3013"/>
      <c r="DA9" s="3013"/>
      <c r="DB9" s="3013"/>
      <c r="DC9" s="3013"/>
      <c r="DD9" s="3013"/>
      <c r="DE9" s="3013"/>
      <c r="DF9" s="3013"/>
      <c r="DG9" s="3013"/>
      <c r="DH9" s="3013"/>
      <c r="DI9" s="3013"/>
      <c r="DJ9" s="3013"/>
      <c r="DK9" s="3013"/>
      <c r="DL9" s="3013"/>
      <c r="DM9" s="3013"/>
      <c r="DN9" s="3013"/>
      <c r="DO9" s="3013"/>
      <c r="DP9" s="3013"/>
      <c r="DQ9" s="3013"/>
      <c r="DR9" s="3013"/>
      <c r="DS9" s="3013"/>
      <c r="DT9" s="3013"/>
      <c r="DU9" s="3013"/>
      <c r="DV9" s="3013"/>
      <c r="DW9" s="3013"/>
      <c r="DX9" s="3013"/>
      <c r="DY9" s="3013"/>
      <c r="DZ9" s="3013"/>
      <c r="EA9" s="3013"/>
      <c r="EB9" s="3013"/>
      <c r="EC9" s="3013"/>
      <c r="ED9" s="3013"/>
      <c r="EE9" s="3013"/>
      <c r="EF9" s="3013"/>
      <c r="EG9" s="3013"/>
      <c r="EH9" s="3013"/>
      <c r="EI9" s="3013"/>
      <c r="EJ9" s="3013"/>
      <c r="EK9" s="3013"/>
      <c r="EL9" s="3013"/>
      <c r="EM9" s="3013"/>
      <c r="EN9" s="3013"/>
      <c r="EO9" s="3013"/>
      <c r="EP9" s="3013"/>
      <c r="EQ9" s="3013"/>
      <c r="ER9" s="3013"/>
      <c r="ES9" s="3013"/>
      <c r="ET9" s="3013"/>
      <c r="EU9" s="3013"/>
      <c r="EV9" s="3013"/>
      <c r="EW9" s="3013"/>
      <c r="EX9" s="473" t="s">
        <v>2512</v>
      </c>
      <c r="EY9" s="473" t="s">
        <v>2512</v>
      </c>
      <c r="EZ9" s="473" t="s">
        <v>2512</v>
      </c>
      <c r="FA9" s="473" t="s">
        <v>2512</v>
      </c>
      <c r="FB9" s="3009"/>
      <c r="FC9" s="3009"/>
      <c r="FD9" s="3009"/>
      <c r="FE9" s="3009"/>
      <c r="FF9" s="3009"/>
      <c r="FG9" s="3009"/>
      <c r="FH9" s="3009"/>
      <c r="FI9" s="3009"/>
      <c r="FJ9" s="3009"/>
      <c r="FK9" s="3009"/>
      <c r="FL9" s="473" t="s">
        <v>2514</v>
      </c>
      <c r="FM9" s="473" t="s">
        <v>2514</v>
      </c>
      <c r="FN9" s="473" t="s">
        <v>2514</v>
      </c>
      <c r="FO9" s="473" t="s">
        <v>2514</v>
      </c>
      <c r="FP9" s="473" t="s">
        <v>2514</v>
      </c>
      <c r="FQ9" s="473" t="s">
        <v>3389</v>
      </c>
      <c r="FR9" s="473" t="s">
        <v>3389</v>
      </c>
      <c r="FS9" s="473" t="s">
        <v>3389</v>
      </c>
      <c r="FT9" s="473" t="s">
        <v>3389</v>
      </c>
      <c r="FU9" s="473" t="s">
        <v>3389</v>
      </c>
      <c r="FV9" s="3009"/>
      <c r="FW9" s="3009"/>
      <c r="FX9" s="3009"/>
      <c r="FY9" s="3009"/>
      <c r="FZ9" s="3009"/>
      <c r="GA9" s="3009"/>
      <c r="GB9" s="3009"/>
      <c r="GC9" s="3009"/>
      <c r="GD9" s="3009"/>
      <c r="GE9" s="3009"/>
      <c r="GF9" s="3009"/>
      <c r="GG9" s="3009"/>
      <c r="GH9" s="3009"/>
      <c r="GI9" s="3009"/>
      <c r="GJ9" s="3009"/>
      <c r="GK9" s="3009"/>
      <c r="GL9" s="3009"/>
      <c r="GM9" s="3009"/>
      <c r="GN9" s="3009"/>
      <c r="GO9" s="3009"/>
      <c r="GP9" s="3009"/>
      <c r="GQ9" s="3009"/>
      <c r="GR9" s="3009"/>
      <c r="GS9" s="3009"/>
      <c r="GT9" s="3009"/>
      <c r="GU9" s="3009"/>
      <c r="GV9" s="3009"/>
      <c r="GW9" s="3009"/>
      <c r="GX9" s="3009"/>
      <c r="GY9" s="3009"/>
      <c r="GZ9" s="3009"/>
      <c r="HA9" s="3009"/>
      <c r="HB9" s="3009"/>
      <c r="HC9" s="3009"/>
      <c r="HD9" s="3009"/>
      <c r="HE9" s="3009"/>
      <c r="HF9" s="3009"/>
      <c r="HG9" s="3009"/>
      <c r="HH9" s="3009"/>
      <c r="HI9" s="3009"/>
      <c r="HJ9" s="3009"/>
      <c r="HK9" s="3009"/>
      <c r="HL9" s="3009"/>
      <c r="HM9" s="3009"/>
      <c r="HN9" s="3009"/>
      <c r="HO9" s="3009"/>
      <c r="HP9" s="3009"/>
      <c r="HQ9" s="3009"/>
      <c r="HR9" s="3009"/>
      <c r="HS9" s="3009"/>
      <c r="HT9" s="3009"/>
      <c r="HU9" s="3009"/>
      <c r="HV9" s="3009"/>
      <c r="HW9" s="3009"/>
      <c r="HX9" s="3009"/>
      <c r="HY9" s="3009"/>
      <c r="HZ9" s="3009"/>
      <c r="IA9" s="3009"/>
      <c r="IB9" s="3009"/>
      <c r="IC9" s="3009"/>
      <c r="ID9" s="3009"/>
      <c r="IE9" s="3009"/>
      <c r="IF9" s="3009"/>
      <c r="IG9" s="3009"/>
      <c r="IH9" s="3009"/>
      <c r="II9" s="3009"/>
      <c r="IJ9" s="3009"/>
      <c r="IK9" s="3009"/>
      <c r="IL9" s="3009"/>
      <c r="IM9" s="3009"/>
      <c r="IN9" s="3009"/>
      <c r="IO9" s="3009"/>
      <c r="IP9" s="3009"/>
      <c r="IQ9" s="3009"/>
      <c r="IR9" s="3009"/>
      <c r="IS9" s="3009"/>
      <c r="IT9" s="3009"/>
      <c r="IU9" s="3009"/>
      <c r="IV9" s="3009"/>
      <c r="IW9" s="3009"/>
      <c r="IX9" s="3009"/>
      <c r="IY9" s="3009"/>
      <c r="IZ9" s="3009"/>
      <c r="JA9" s="3009"/>
      <c r="JB9" s="3009"/>
      <c r="JC9" s="3009"/>
      <c r="JD9" s="3009"/>
      <c r="JE9" s="3009"/>
      <c r="JF9" s="3009"/>
      <c r="JG9" s="3009"/>
      <c r="JH9" s="3018"/>
      <c r="JI9" s="3018"/>
      <c r="JJ9" s="3018"/>
      <c r="JK9" s="3018"/>
      <c r="JL9" s="3018"/>
      <c r="JM9" s="3009"/>
      <c r="JN9" s="3009"/>
      <c r="JO9" s="3009"/>
      <c r="JP9" s="3009"/>
      <c r="JQ9" s="3009"/>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6" t="s">
        <v>119</v>
      </c>
      <c r="C10" s="2287" t="s">
        <v>573</v>
      </c>
      <c r="D10" s="2288">
        <v>1</v>
      </c>
      <c r="E10" s="2289">
        <v>17</v>
      </c>
      <c r="F10" s="2289">
        <v>520</v>
      </c>
      <c r="G10" s="2289">
        <v>610</v>
      </c>
      <c r="H10" s="2289">
        <v>610</v>
      </c>
      <c r="I10" s="2290">
        <v>115.58</v>
      </c>
      <c r="J10" s="2291"/>
      <c r="K10" s="629">
        <f t="shared" ref="K10:K47" si="1">MAX(0,H10-I10)</f>
        <v>494.42</v>
      </c>
      <c r="L10" s="629">
        <f t="shared" ref="L10:L47" si="2">MAX(0,E10*K10)</f>
        <v>8405.14</v>
      </c>
      <c r="M10" s="2292" t="s">
        <v>3014</v>
      </c>
      <c r="N10" s="2292" t="s">
        <v>4596</v>
      </c>
      <c r="O10" s="2292" t="s">
        <v>980</v>
      </c>
      <c r="P10" s="2293" t="s">
        <v>3014</v>
      </c>
      <c r="Q10" s="2294">
        <f t="shared" ref="Q10:Q47" si="3">IF(H10="","",H10*12/0.3)</f>
        <v>24400</v>
      </c>
      <c r="R10" s="2295">
        <f>IF(H10="","",IF(C10="Efficiency",Q10/($O$6*VLOOKUP(0,'DCA Underwriting Assumptions'!$J$143:$K$148,2,FALSE)),Q10/($O$6*VLOOKUP(C10,'DCA Underwriting Assumptions'!$J$143:$K$148,2,FALSE))))</f>
        <v>0.50010248001639679</v>
      </c>
      <c r="S10" s="2296"/>
      <c r="T10" s="2297"/>
      <c r="U10" s="3031"/>
      <c r="V10" s="3032"/>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f t="shared" ref="AB10:AB47" si="9">IF(AND(C10="Efficiency",B10="50% AMI",NOT(M10="Common Space")),E10,"")</f>
        <v>17</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f t="shared" ref="CE10:CE47" si="64">IF(OR(AND(C10="Efficiency",B10="50% AMI",NOT(M10="Common Space")),AND(C10="Efficiency",B10="HOME 50% AMI",NOT(M10="Common Space"))),E10*F10,"")</f>
        <v>8840</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f t="shared" ref="EH10:EH47" si="119">IF(AND($C10="Efficiency", $O10="Rehabilitation",NOT($B10="Unrestricted"),NOT($B10="NSP 120% AMI"),NOT($B10="N/A-CS"),NOT($M10="Common Space")),$E10,"")</f>
        <v>17</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f t="shared" ref="EW10:EW47" si="134">IF(AND($C10="Efficiency", NOT(OR($N10="SF Detached",$N10="Mfd Home",$N10="Duplex",$N10="Townhome"))),$E10,"")</f>
        <v>17</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f t="shared" ref="HT10:HT47" si="209">IF(AND($C10="Efficiency", $N10="3+ Story",NOT($P10="Yes")),$E10,"")</f>
        <v>17</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17</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8" t="s">
        <v>119</v>
      </c>
      <c r="C11" s="2299" t="s">
        <v>573</v>
      </c>
      <c r="D11" s="2300">
        <v>1</v>
      </c>
      <c r="E11" s="2301">
        <v>2</v>
      </c>
      <c r="F11" s="2301">
        <v>600</v>
      </c>
      <c r="G11" s="2301">
        <v>610</v>
      </c>
      <c r="H11" s="2301">
        <v>610</v>
      </c>
      <c r="I11" s="2302">
        <f>IF(C11="",0,HLOOKUP(C11,'Part V-Utility Allowances'!$I$11:$M$21,11))</f>
        <v>113.33</v>
      </c>
      <c r="J11" s="2303"/>
      <c r="K11" s="630">
        <f t="shared" si="1"/>
        <v>496.67</v>
      </c>
      <c r="L11" s="630">
        <f t="shared" si="2"/>
        <v>993.34</v>
      </c>
      <c r="M11" s="2304" t="s">
        <v>3014</v>
      </c>
      <c r="N11" s="2304" t="s">
        <v>4596</v>
      </c>
      <c r="O11" s="2304" t="s">
        <v>980</v>
      </c>
      <c r="P11" s="2305" t="s">
        <v>3014</v>
      </c>
      <c r="Q11" s="2306">
        <f t="shared" si="3"/>
        <v>24400</v>
      </c>
      <c r="R11" s="2307">
        <f>IF(H11="","",IF(C11="Efficiency",Q11/($O$6*VLOOKUP(0,'DCA Underwriting Assumptions'!$J$143:$K$148,2,FALSE)),Q11/($O$6*VLOOKUP(C11,'DCA Underwriting Assumptions'!$J$143:$K$148,2,FALSE))))</f>
        <v>0.50010248001639679</v>
      </c>
      <c r="S11" s="2308"/>
      <c r="T11" s="2309"/>
      <c r="U11" s="3024"/>
      <c r="V11" s="3025"/>
      <c r="W11" s="152" t="str">
        <f t="shared" si="4"/>
        <v/>
      </c>
      <c r="X11" s="152" t="str">
        <f t="shared" si="5"/>
        <v/>
      </c>
      <c r="Y11" s="152" t="str">
        <f t="shared" si="6"/>
        <v/>
      </c>
      <c r="Z11" s="152" t="str">
        <f t="shared" si="7"/>
        <v/>
      </c>
      <c r="AA11" s="152" t="str">
        <f t="shared" si="8"/>
        <v/>
      </c>
      <c r="AB11" s="152">
        <f t="shared" si="9"/>
        <v>2</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f t="shared" si="64"/>
        <v>1200</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f t="shared" si="119"/>
        <v>2</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f t="shared" si="134"/>
        <v>2</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f t="shared" si="209"/>
        <v>2</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2</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8" t="s">
        <v>119</v>
      </c>
      <c r="C12" s="2299">
        <v>1</v>
      </c>
      <c r="D12" s="2300">
        <v>1</v>
      </c>
      <c r="E12" s="2301">
        <v>6</v>
      </c>
      <c r="F12" s="2301">
        <v>820</v>
      </c>
      <c r="G12" s="2301">
        <v>653</v>
      </c>
      <c r="H12" s="2301">
        <v>653</v>
      </c>
      <c r="I12" s="2302">
        <f>IF(C12="",0,HLOOKUP(C12,'Part V-Utility Allowances'!$I$11:$M$21,11))</f>
        <v>118.25</v>
      </c>
      <c r="J12" s="2303"/>
      <c r="K12" s="630">
        <f t="shared" si="1"/>
        <v>534.75</v>
      </c>
      <c r="L12" s="630">
        <f t="shared" si="2"/>
        <v>3208.5</v>
      </c>
      <c r="M12" s="2304" t="s">
        <v>3014</v>
      </c>
      <c r="N12" s="2304" t="s">
        <v>4596</v>
      </c>
      <c r="O12" s="2304" t="s">
        <v>980</v>
      </c>
      <c r="P12" s="2305" t="s">
        <v>3014</v>
      </c>
      <c r="Q12" s="2306">
        <f t="shared" si="3"/>
        <v>26120</v>
      </c>
      <c r="R12" s="2307">
        <f>IF(H12="","",IF(C12="Efficiency",Q12/($O$6*VLOOKUP(0,'DCA Underwriting Assumptions'!$J$143:$K$148,2,FALSE)),Q12/($O$6*VLOOKUP(C12,'DCA Underwriting Assumptions'!$J$143:$K$148,2,FALSE))))</f>
        <v>0.49966523194643714</v>
      </c>
      <c r="S12" s="2308"/>
      <c r="T12" s="2309"/>
      <c r="U12" s="3024"/>
      <c r="V12" s="3025"/>
      <c r="W12" s="152" t="str">
        <f t="shared" si="4"/>
        <v/>
      </c>
      <c r="X12" s="152" t="str">
        <f t="shared" si="5"/>
        <v/>
      </c>
      <c r="Y12" s="152" t="str">
        <f t="shared" si="6"/>
        <v/>
      </c>
      <c r="Z12" s="152" t="str">
        <f t="shared" si="7"/>
        <v/>
      </c>
      <c r="AA12" s="152" t="str">
        <f t="shared" si="8"/>
        <v/>
      </c>
      <c r="AB12" s="152" t="str">
        <f t="shared" si="9"/>
        <v/>
      </c>
      <c r="AC12" s="152">
        <f t="shared" si="10"/>
        <v>6</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f t="shared" si="65"/>
        <v>4920</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f t="shared" si="120"/>
        <v>6</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6</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6</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6</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8" t="s">
        <v>1159</v>
      </c>
      <c r="C13" s="2299" t="s">
        <v>573</v>
      </c>
      <c r="D13" s="2300">
        <v>1</v>
      </c>
      <c r="E13" s="2301">
        <v>69</v>
      </c>
      <c r="F13" s="2301">
        <v>520</v>
      </c>
      <c r="G13" s="2301">
        <v>732</v>
      </c>
      <c r="H13" s="2301">
        <v>691</v>
      </c>
      <c r="I13" s="2302">
        <v>115.58</v>
      </c>
      <c r="J13" s="2303"/>
      <c r="K13" s="630">
        <f t="shared" si="1"/>
        <v>575.41999999999996</v>
      </c>
      <c r="L13" s="630">
        <f t="shared" si="2"/>
        <v>39703.979999999996</v>
      </c>
      <c r="M13" s="2304" t="s">
        <v>3014</v>
      </c>
      <c r="N13" s="2304" t="s">
        <v>4596</v>
      </c>
      <c r="O13" s="2304" t="s">
        <v>980</v>
      </c>
      <c r="P13" s="2305" t="s">
        <v>3014</v>
      </c>
      <c r="Q13" s="2306">
        <f t="shared" si="3"/>
        <v>27640</v>
      </c>
      <c r="R13" s="2307">
        <f>IF(H13="","",IF(C13="Efficiency",Q13/($O$6*VLOOKUP(0,'DCA Underwriting Assumptions'!$J$143:$K$148,2,FALSE)),Q13/($O$6*VLOOKUP(C13,'DCA Underwriting Assumptions'!$J$143:$K$148,2,FALSE))))</f>
        <v>0.56650953064152487</v>
      </c>
      <c r="S13" s="2308"/>
      <c r="T13" s="2309"/>
      <c r="U13" s="3024"/>
      <c r="V13" s="3025"/>
      <c r="W13" s="152">
        <f t="shared" si="4"/>
        <v>69</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f t="shared" si="59"/>
        <v>35880</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f t="shared" si="119"/>
        <v>69</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f t="shared" si="134"/>
        <v>69</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f t="shared" si="209"/>
        <v>69</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69</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8" t="s">
        <v>1159</v>
      </c>
      <c r="C14" s="2299" t="s">
        <v>573</v>
      </c>
      <c r="D14" s="2300">
        <v>1</v>
      </c>
      <c r="E14" s="2301">
        <v>7</v>
      </c>
      <c r="F14" s="2301">
        <v>600</v>
      </c>
      <c r="G14" s="2301">
        <v>732</v>
      </c>
      <c r="H14" s="2301">
        <v>688</v>
      </c>
      <c r="I14" s="2302">
        <f>IF(C14="",0,HLOOKUP(C14,'Part V-Utility Allowances'!$I$11:$M$21,11))</f>
        <v>113.33</v>
      </c>
      <c r="J14" s="2303"/>
      <c r="K14" s="630">
        <f t="shared" si="1"/>
        <v>574.66999999999996</v>
      </c>
      <c r="L14" s="630">
        <f t="shared" si="2"/>
        <v>4022.6899999999996</v>
      </c>
      <c r="M14" s="2304" t="s">
        <v>3014</v>
      </c>
      <c r="N14" s="2304" t="s">
        <v>4596</v>
      </c>
      <c r="O14" s="2304" t="s">
        <v>980</v>
      </c>
      <c r="P14" s="2305" t="s">
        <v>3014</v>
      </c>
      <c r="Q14" s="2306">
        <f t="shared" si="3"/>
        <v>27520</v>
      </c>
      <c r="R14" s="2307">
        <f>IF(H14="","",IF(C14="Efficiency",Q14/($O$6*VLOOKUP(0,'DCA Underwriting Assumptions'!$J$143:$K$148,2,FALSE)),Q14/($O$6*VLOOKUP(C14,'DCA Underwriting Assumptions'!$J$143:$K$148,2,FALSE))))</f>
        <v>0.56405001024800161</v>
      </c>
      <c r="S14" s="2308"/>
      <c r="T14" s="2309"/>
      <c r="U14" s="3024"/>
      <c r="V14" s="3025"/>
      <c r="W14" s="152">
        <f t="shared" si="4"/>
        <v>7</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f t="shared" si="59"/>
        <v>4200</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f t="shared" si="119"/>
        <v>7</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f t="shared" si="134"/>
        <v>7</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f t="shared" si="209"/>
        <v>7</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7</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8" t="s">
        <v>1159</v>
      </c>
      <c r="C15" s="2299">
        <v>1</v>
      </c>
      <c r="D15" s="2300">
        <v>1</v>
      </c>
      <c r="E15" s="2301">
        <v>22</v>
      </c>
      <c r="F15" s="2301">
        <v>820</v>
      </c>
      <c r="G15" s="2301">
        <v>784</v>
      </c>
      <c r="H15" s="2301">
        <v>784</v>
      </c>
      <c r="I15" s="2302">
        <f>IF(C15="",0,HLOOKUP(C15,'Part V-Utility Allowances'!$I$11:$M$21,11))</f>
        <v>118.25</v>
      </c>
      <c r="J15" s="2303"/>
      <c r="K15" s="630">
        <f t="shared" si="1"/>
        <v>665.75</v>
      </c>
      <c r="L15" s="630">
        <f t="shared" si="2"/>
        <v>14646.5</v>
      </c>
      <c r="M15" s="2304" t="s">
        <v>3014</v>
      </c>
      <c r="N15" s="2304" t="s">
        <v>4596</v>
      </c>
      <c r="O15" s="2304" t="s">
        <v>980</v>
      </c>
      <c r="P15" s="2305" t="s">
        <v>3014</v>
      </c>
      <c r="Q15" s="2306">
        <f t="shared" si="3"/>
        <v>31360</v>
      </c>
      <c r="R15" s="2307">
        <f>IF(H15="","",IF(C15="Efficiency",Q15/($O$6*VLOOKUP(0,'DCA Underwriting Assumptions'!$J$143:$K$148,2,FALSE)),Q15/($O$6*VLOOKUP(C15,'DCA Underwriting Assumptions'!$J$143:$K$148,2,FALSE))))</f>
        <v>0.59990435198469627</v>
      </c>
      <c r="S15" s="2308"/>
      <c r="T15" s="2309"/>
      <c r="U15" s="3024"/>
      <c r="V15" s="3025"/>
      <c r="W15" s="152" t="str">
        <f t="shared" si="4"/>
        <v/>
      </c>
      <c r="X15" s="152">
        <f t="shared" si="5"/>
        <v>22</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f t="shared" si="60"/>
        <v>18040</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f t="shared" si="120"/>
        <v>22</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f t="shared" si="135"/>
        <v>22</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f t="shared" si="210"/>
        <v>22</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22</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8"/>
      <c r="C16" s="2299"/>
      <c r="D16" s="2300"/>
      <c r="E16" s="2301"/>
      <c r="F16" s="2301"/>
      <c r="G16" s="2301"/>
      <c r="H16" s="2301"/>
      <c r="I16" s="2302"/>
      <c r="J16" s="2303"/>
      <c r="K16" s="630">
        <f t="shared" si="1"/>
        <v>0</v>
      </c>
      <c r="L16" s="630">
        <f t="shared" si="2"/>
        <v>0</v>
      </c>
      <c r="M16" s="2304"/>
      <c r="N16" s="2304"/>
      <c r="O16" s="2304"/>
      <c r="P16" s="2305"/>
      <c r="Q16" s="2306" t="str">
        <f t="shared" si="3"/>
        <v/>
      </c>
      <c r="R16" s="2307" t="str">
        <f>IF(H16="","",IF(C16="Efficiency",Q16/($O$6*VLOOKUP(0,'DCA Underwriting Assumptions'!$J$143:$K$148,2,FALSE)),Q16/($O$6*VLOOKUP(C16,'DCA Underwriting Assumptions'!$J$143:$K$148,2,FALSE))))</f>
        <v/>
      </c>
      <c r="S16" s="2308"/>
      <c r="T16" s="2309"/>
      <c r="U16" s="3024"/>
      <c r="V16" s="3025"/>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8"/>
      <c r="C17" s="2299"/>
      <c r="D17" s="2300"/>
      <c r="E17" s="2301"/>
      <c r="F17" s="2301"/>
      <c r="G17" s="2301"/>
      <c r="H17" s="2301"/>
      <c r="I17" s="2302"/>
      <c r="J17" s="2303"/>
      <c r="K17" s="630">
        <f t="shared" si="1"/>
        <v>0</v>
      </c>
      <c r="L17" s="630">
        <f t="shared" si="2"/>
        <v>0</v>
      </c>
      <c r="M17" s="2304"/>
      <c r="N17" s="2304"/>
      <c r="O17" s="2304"/>
      <c r="P17" s="2305"/>
      <c r="Q17" s="2306" t="str">
        <f t="shared" si="3"/>
        <v/>
      </c>
      <c r="R17" s="2307" t="str">
        <f>IF(H17="","",IF(C17="Efficiency",Q17/($O$6*VLOOKUP(0,'DCA Underwriting Assumptions'!$J$143:$K$148,2,FALSE)),Q17/($O$6*VLOOKUP(C17,'DCA Underwriting Assumptions'!$J$143:$K$148,2,FALSE))))</f>
        <v/>
      </c>
      <c r="S17" s="2308"/>
      <c r="T17" s="2309"/>
      <c r="U17" s="3024"/>
      <c r="V17" s="3025"/>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8"/>
      <c r="C18" s="2299"/>
      <c r="D18" s="2300"/>
      <c r="E18" s="2301"/>
      <c r="F18" s="2301"/>
      <c r="G18" s="2301"/>
      <c r="H18" s="2301"/>
      <c r="I18" s="2302"/>
      <c r="J18" s="2303"/>
      <c r="K18" s="630">
        <f t="shared" si="1"/>
        <v>0</v>
      </c>
      <c r="L18" s="630">
        <f t="shared" si="2"/>
        <v>0</v>
      </c>
      <c r="M18" s="2304"/>
      <c r="N18" s="2304"/>
      <c r="O18" s="2304"/>
      <c r="P18" s="2305"/>
      <c r="Q18" s="2306" t="str">
        <f t="shared" si="3"/>
        <v/>
      </c>
      <c r="R18" s="2307" t="str">
        <f>IF(H18="","",IF(C18="Efficiency",Q18/($O$6*VLOOKUP(0,'DCA Underwriting Assumptions'!$J$143:$K$148,2,FALSE)),Q18/($O$6*VLOOKUP(C18,'DCA Underwriting Assumptions'!$J$143:$K$148,2,FALSE))))</f>
        <v/>
      </c>
      <c r="S18" s="2308"/>
      <c r="T18" s="2309"/>
      <c r="U18" s="3024"/>
      <c r="V18" s="3025"/>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8" t="s">
        <v>1784</v>
      </c>
      <c r="C19" s="2299"/>
      <c r="D19" s="2300"/>
      <c r="E19" s="2301"/>
      <c r="F19" s="2301"/>
      <c r="G19" s="2301"/>
      <c r="H19" s="2301"/>
      <c r="I19" s="2302">
        <f>IF(C19="",0,HLOOKUP(C19,'Part V-Utility Allowances'!$I$11:$M$21,11))</f>
        <v>0</v>
      </c>
      <c r="J19" s="2303"/>
      <c r="K19" s="630">
        <f t="shared" si="1"/>
        <v>0</v>
      </c>
      <c r="L19" s="630">
        <f t="shared" si="2"/>
        <v>0</v>
      </c>
      <c r="M19" s="2304"/>
      <c r="N19" s="2304"/>
      <c r="O19" s="2304"/>
      <c r="P19" s="2305"/>
      <c r="Q19" s="2306" t="str">
        <f t="shared" si="3"/>
        <v/>
      </c>
      <c r="R19" s="2307" t="str">
        <f>IF(H19="","",IF(C19="Efficiency",Q19/($O$6*VLOOKUP(0,'DCA Underwriting Assumptions'!$J$143:$K$148,2,FALSE)),Q19/($O$6*VLOOKUP(C19,'DCA Underwriting Assumptions'!$J$143:$K$148,2,FALSE))))</f>
        <v/>
      </c>
      <c r="S19" s="2308"/>
      <c r="T19" s="2309"/>
      <c r="U19" s="3024"/>
      <c r="V19" s="3025"/>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8" t="s">
        <v>1784</v>
      </c>
      <c r="C20" s="2299"/>
      <c r="D20" s="2300"/>
      <c r="E20" s="2301"/>
      <c r="F20" s="2301"/>
      <c r="G20" s="2301"/>
      <c r="H20" s="2301"/>
      <c r="I20" s="2302">
        <f>IF(C20="",0,HLOOKUP(C20,'Part V-Utility Allowances'!$I$11:$M$21,11))</f>
        <v>0</v>
      </c>
      <c r="J20" s="2303"/>
      <c r="K20" s="630">
        <f t="shared" si="1"/>
        <v>0</v>
      </c>
      <c r="L20" s="630">
        <f t="shared" si="2"/>
        <v>0</v>
      </c>
      <c r="M20" s="2304"/>
      <c r="N20" s="2304"/>
      <c r="O20" s="2304"/>
      <c r="P20" s="2305"/>
      <c r="Q20" s="2306" t="str">
        <f t="shared" si="3"/>
        <v/>
      </c>
      <c r="R20" s="2307" t="str">
        <f>IF(H20="","",IF(C20="Efficiency",Q20/($O$6*VLOOKUP(0,'DCA Underwriting Assumptions'!$J$143:$K$148,2,FALSE)),Q20/($O$6*VLOOKUP(C20,'DCA Underwriting Assumptions'!$J$143:$K$148,2,FALSE))))</f>
        <v/>
      </c>
      <c r="S20" s="2308"/>
      <c r="T20" s="2309"/>
      <c r="U20" s="3024"/>
      <c r="V20" s="3025"/>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8" t="s">
        <v>1784</v>
      </c>
      <c r="C21" s="2299"/>
      <c r="D21" s="2300"/>
      <c r="E21" s="2301"/>
      <c r="F21" s="2301"/>
      <c r="G21" s="2301"/>
      <c r="H21" s="2301"/>
      <c r="I21" s="2302">
        <f>IF(C21="",0,HLOOKUP(C21,'Part V-Utility Allowances'!$I$11:$M$21,11))</f>
        <v>0</v>
      </c>
      <c r="J21" s="2303"/>
      <c r="K21" s="630">
        <f t="shared" si="1"/>
        <v>0</v>
      </c>
      <c r="L21" s="630">
        <f t="shared" si="2"/>
        <v>0</v>
      </c>
      <c r="M21" s="2304"/>
      <c r="N21" s="2304"/>
      <c r="O21" s="2304"/>
      <c r="P21" s="2305"/>
      <c r="Q21" s="2306" t="str">
        <f t="shared" si="3"/>
        <v/>
      </c>
      <c r="R21" s="2307" t="str">
        <f>IF(H21="","",IF(C21="Efficiency",Q21/($O$6*VLOOKUP(0,'DCA Underwriting Assumptions'!$J$143:$K$148,2,FALSE)),Q21/($O$6*VLOOKUP(C21,'DCA Underwriting Assumptions'!$J$143:$K$148,2,FALSE))))</f>
        <v/>
      </c>
      <c r="S21" s="2308"/>
      <c r="T21" s="2309"/>
      <c r="U21" s="3024"/>
      <c r="V21" s="3025"/>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8" t="s">
        <v>1784</v>
      </c>
      <c r="C22" s="2299"/>
      <c r="D22" s="2300"/>
      <c r="E22" s="2301"/>
      <c r="F22" s="2301"/>
      <c r="G22" s="2301"/>
      <c r="H22" s="2301"/>
      <c r="I22" s="2302">
        <f>IF(C22="",0,HLOOKUP(C22,'Part V-Utility Allowances'!$I$11:$M$21,11))</f>
        <v>0</v>
      </c>
      <c r="J22" s="2303"/>
      <c r="K22" s="630">
        <f t="shared" si="1"/>
        <v>0</v>
      </c>
      <c r="L22" s="630">
        <f t="shared" si="2"/>
        <v>0</v>
      </c>
      <c r="M22" s="2304"/>
      <c r="N22" s="2304"/>
      <c r="O22" s="2304"/>
      <c r="P22" s="2305"/>
      <c r="Q22" s="2306" t="str">
        <f t="shared" si="3"/>
        <v/>
      </c>
      <c r="R22" s="2307" t="str">
        <f>IF(H22="","",IF(C22="Efficiency",Q22/($O$6*VLOOKUP(0,'DCA Underwriting Assumptions'!$J$143:$K$148,2,FALSE)),Q22/($O$6*VLOOKUP(C22,'DCA Underwriting Assumptions'!$J$143:$K$148,2,FALSE))))</f>
        <v/>
      </c>
      <c r="S22" s="2308"/>
      <c r="T22" s="2309"/>
      <c r="U22" s="3024"/>
      <c r="V22" s="3025"/>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8" t="s">
        <v>1784</v>
      </c>
      <c r="C23" s="2299"/>
      <c r="D23" s="2300"/>
      <c r="E23" s="2301"/>
      <c r="F23" s="2301"/>
      <c r="G23" s="2301"/>
      <c r="H23" s="2301"/>
      <c r="I23" s="2302">
        <f>IF(C23="",0,HLOOKUP(C23,'Part V-Utility Allowances'!$I$11:$M$21,11))</f>
        <v>0</v>
      </c>
      <c r="J23" s="2303"/>
      <c r="K23" s="630">
        <f t="shared" si="1"/>
        <v>0</v>
      </c>
      <c r="L23" s="630">
        <f t="shared" si="2"/>
        <v>0</v>
      </c>
      <c r="M23" s="2304"/>
      <c r="N23" s="2304"/>
      <c r="O23" s="2304"/>
      <c r="P23" s="2305"/>
      <c r="Q23" s="2306" t="str">
        <f t="shared" si="3"/>
        <v/>
      </c>
      <c r="R23" s="2307" t="str">
        <f>IF(H23="","",IF(C23="Efficiency",Q23/($O$6*VLOOKUP(0,'DCA Underwriting Assumptions'!$J$143:$K$148,2,FALSE)),Q23/($O$6*VLOOKUP(C23,'DCA Underwriting Assumptions'!$J$143:$K$148,2,FALSE))))</f>
        <v/>
      </c>
      <c r="S23" s="2308"/>
      <c r="T23" s="2309"/>
      <c r="U23" s="3024"/>
      <c r="V23" s="3025"/>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8" t="s">
        <v>1784</v>
      </c>
      <c r="C24" s="2299"/>
      <c r="D24" s="2300"/>
      <c r="E24" s="2301"/>
      <c r="F24" s="2301"/>
      <c r="G24" s="2301"/>
      <c r="H24" s="2301"/>
      <c r="I24" s="2302">
        <f>IF(C24="",0,HLOOKUP(C24,'Part V-Utility Allowances'!$I$11:$M$21,11))</f>
        <v>0</v>
      </c>
      <c r="J24" s="2303"/>
      <c r="K24" s="630">
        <f t="shared" si="1"/>
        <v>0</v>
      </c>
      <c r="L24" s="630">
        <f t="shared" si="2"/>
        <v>0</v>
      </c>
      <c r="M24" s="2304"/>
      <c r="N24" s="2304"/>
      <c r="O24" s="2304"/>
      <c r="P24" s="2305"/>
      <c r="Q24" s="2306" t="str">
        <f t="shared" si="3"/>
        <v/>
      </c>
      <c r="R24" s="2307" t="str">
        <f>IF(H24="","",IF(C24="Efficiency",Q24/($O$6*VLOOKUP(0,'DCA Underwriting Assumptions'!$J$143:$K$148,2,FALSE)),Q24/($O$6*VLOOKUP(C24,'DCA Underwriting Assumptions'!$J$143:$K$148,2,FALSE))))</f>
        <v/>
      </c>
      <c r="S24" s="2308"/>
      <c r="T24" s="2309"/>
      <c r="U24" s="3024"/>
      <c r="V24" s="3025"/>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8" t="s">
        <v>1784</v>
      </c>
      <c r="C25" s="2299"/>
      <c r="D25" s="2300"/>
      <c r="E25" s="2301"/>
      <c r="F25" s="2301"/>
      <c r="G25" s="2301"/>
      <c r="H25" s="2301"/>
      <c r="I25" s="2302">
        <f>IF(C25="",0,HLOOKUP(C25,'Part V-Utility Allowances'!$I$11:$M$21,11))</f>
        <v>0</v>
      </c>
      <c r="J25" s="2303"/>
      <c r="K25" s="630">
        <f t="shared" si="1"/>
        <v>0</v>
      </c>
      <c r="L25" s="630">
        <f t="shared" si="2"/>
        <v>0</v>
      </c>
      <c r="M25" s="2304"/>
      <c r="N25" s="2304"/>
      <c r="O25" s="2304"/>
      <c r="P25" s="2305"/>
      <c r="Q25" s="2306" t="str">
        <f t="shared" si="3"/>
        <v/>
      </c>
      <c r="R25" s="2307" t="str">
        <f>IF(H25="","",IF(C25="Efficiency",Q25/($O$6*VLOOKUP(0,'DCA Underwriting Assumptions'!$J$143:$K$148,2,FALSE)),Q25/($O$6*VLOOKUP(C25,'DCA Underwriting Assumptions'!$J$143:$K$148,2,FALSE))))</f>
        <v/>
      </c>
      <c r="S25" s="2308"/>
      <c r="T25" s="2309"/>
      <c r="U25" s="3024"/>
      <c r="V25" s="3025"/>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8" t="s">
        <v>1784</v>
      </c>
      <c r="C26" s="2299"/>
      <c r="D26" s="2300"/>
      <c r="E26" s="2301"/>
      <c r="F26" s="2301"/>
      <c r="G26" s="2301"/>
      <c r="H26" s="2301"/>
      <c r="I26" s="2302">
        <f>IF(C26="",0,HLOOKUP(C26,'Part V-Utility Allowances'!$I$11:$M$21,11))</f>
        <v>0</v>
      </c>
      <c r="J26" s="2303"/>
      <c r="K26" s="630">
        <f t="shared" si="1"/>
        <v>0</v>
      </c>
      <c r="L26" s="630">
        <f t="shared" si="2"/>
        <v>0</v>
      </c>
      <c r="M26" s="2304"/>
      <c r="N26" s="2304"/>
      <c r="O26" s="2304"/>
      <c r="P26" s="2305"/>
      <c r="Q26" s="2306" t="str">
        <f t="shared" si="3"/>
        <v/>
      </c>
      <c r="R26" s="2307" t="str">
        <f>IF(H26="","",IF(C26="Efficiency",Q26/($O$6*VLOOKUP(0,'DCA Underwriting Assumptions'!$J$143:$K$148,2,FALSE)),Q26/($O$6*VLOOKUP(C26,'DCA Underwriting Assumptions'!$J$143:$K$148,2,FALSE))))</f>
        <v/>
      </c>
      <c r="S26" s="2308"/>
      <c r="T26" s="2309"/>
      <c r="U26" s="3024"/>
      <c r="V26" s="3025"/>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8" t="s">
        <v>1784</v>
      </c>
      <c r="C27" s="2299"/>
      <c r="D27" s="2300"/>
      <c r="E27" s="2301"/>
      <c r="F27" s="2301"/>
      <c r="G27" s="2301"/>
      <c r="H27" s="2301"/>
      <c r="I27" s="2302">
        <f>IF(C27="",0,HLOOKUP(C27,'Part V-Utility Allowances'!$I$11:$M$21,11))</f>
        <v>0</v>
      </c>
      <c r="J27" s="2303"/>
      <c r="K27" s="630">
        <f t="shared" si="1"/>
        <v>0</v>
      </c>
      <c r="L27" s="630">
        <f t="shared" si="2"/>
        <v>0</v>
      </c>
      <c r="M27" s="2304"/>
      <c r="N27" s="2304"/>
      <c r="O27" s="2304"/>
      <c r="P27" s="2305"/>
      <c r="Q27" s="2306" t="str">
        <f t="shared" si="3"/>
        <v/>
      </c>
      <c r="R27" s="2307" t="str">
        <f>IF(H27="","",IF(C27="Efficiency",Q27/($O$6*VLOOKUP(0,'DCA Underwriting Assumptions'!$J$143:$K$148,2,FALSE)),Q27/($O$6*VLOOKUP(C27,'DCA Underwriting Assumptions'!$J$143:$K$148,2,FALSE))))</f>
        <v/>
      </c>
      <c r="S27" s="2308"/>
      <c r="T27" s="2309"/>
      <c r="U27" s="3024"/>
      <c r="V27" s="3025"/>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8" t="s">
        <v>1784</v>
      </c>
      <c r="C28" s="2299"/>
      <c r="D28" s="2300"/>
      <c r="E28" s="2301"/>
      <c r="F28" s="2301"/>
      <c r="G28" s="2301"/>
      <c r="H28" s="2301"/>
      <c r="I28" s="2302">
        <f>IF(C28="",0,HLOOKUP(C28,'Part V-Utility Allowances'!$I$11:$M$21,11))</f>
        <v>0</v>
      </c>
      <c r="J28" s="2303"/>
      <c r="K28" s="630">
        <f t="shared" si="1"/>
        <v>0</v>
      </c>
      <c r="L28" s="630">
        <f t="shared" si="2"/>
        <v>0</v>
      </c>
      <c r="M28" s="2304"/>
      <c r="N28" s="2304"/>
      <c r="O28" s="2304"/>
      <c r="P28" s="2305"/>
      <c r="Q28" s="2306" t="str">
        <f t="shared" si="3"/>
        <v/>
      </c>
      <c r="R28" s="2307" t="str">
        <f>IF(H28="","",IF(C28="Efficiency",Q28/($O$6*VLOOKUP(0,'DCA Underwriting Assumptions'!$J$143:$K$148,2,FALSE)),Q28/($O$6*VLOOKUP(C28,'DCA Underwriting Assumptions'!$J$143:$K$148,2,FALSE))))</f>
        <v/>
      </c>
      <c r="S28" s="2308"/>
      <c r="T28" s="2309"/>
      <c r="U28" s="3024"/>
      <c r="V28" s="3025"/>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8" t="s">
        <v>1784</v>
      </c>
      <c r="C29" s="2299"/>
      <c r="D29" s="2300"/>
      <c r="E29" s="2301"/>
      <c r="F29" s="2301"/>
      <c r="G29" s="2301"/>
      <c r="H29" s="2301"/>
      <c r="I29" s="2302">
        <f>IF(C29="",0,HLOOKUP(C29,'Part V-Utility Allowances'!$I$11:$M$21,11))</f>
        <v>0</v>
      </c>
      <c r="J29" s="2303"/>
      <c r="K29" s="630">
        <f t="shared" si="1"/>
        <v>0</v>
      </c>
      <c r="L29" s="630">
        <f t="shared" si="2"/>
        <v>0</v>
      </c>
      <c r="M29" s="2304"/>
      <c r="N29" s="2304"/>
      <c r="O29" s="2304"/>
      <c r="P29" s="2305"/>
      <c r="Q29" s="2306" t="str">
        <f t="shared" si="3"/>
        <v/>
      </c>
      <c r="R29" s="2307" t="str">
        <f>IF(H29="","",IF(C29="Efficiency",Q29/($O$6*VLOOKUP(0,'DCA Underwriting Assumptions'!$J$143:$K$148,2,FALSE)),Q29/($O$6*VLOOKUP(C29,'DCA Underwriting Assumptions'!$J$143:$K$148,2,FALSE))))</f>
        <v/>
      </c>
      <c r="S29" s="2308"/>
      <c r="T29" s="2309"/>
      <c r="U29" s="3024"/>
      <c r="V29" s="3025"/>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8" t="s">
        <v>1784</v>
      </c>
      <c r="C30" s="2299"/>
      <c r="D30" s="2300"/>
      <c r="E30" s="2301"/>
      <c r="F30" s="2301"/>
      <c r="G30" s="2301"/>
      <c r="H30" s="2301"/>
      <c r="I30" s="2302">
        <f>IF(C30="",0,HLOOKUP(C30,'Part V-Utility Allowances'!$I$11:$M$21,11))</f>
        <v>0</v>
      </c>
      <c r="J30" s="2303"/>
      <c r="K30" s="630">
        <f t="shared" si="1"/>
        <v>0</v>
      </c>
      <c r="L30" s="630">
        <f t="shared" si="2"/>
        <v>0</v>
      </c>
      <c r="M30" s="2304"/>
      <c r="N30" s="2304"/>
      <c r="O30" s="2304"/>
      <c r="P30" s="2305"/>
      <c r="Q30" s="2306" t="str">
        <f t="shared" si="3"/>
        <v/>
      </c>
      <c r="R30" s="2307" t="str">
        <f>IF(H30="","",IF(C30="Efficiency",Q30/($O$6*VLOOKUP(0,'DCA Underwriting Assumptions'!$J$143:$K$148,2,FALSE)),Q30/($O$6*VLOOKUP(C30,'DCA Underwriting Assumptions'!$J$143:$K$148,2,FALSE))))</f>
        <v/>
      </c>
      <c r="S30" s="2308"/>
      <c r="T30" s="2309"/>
      <c r="U30" s="3024"/>
      <c r="V30" s="3025"/>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8" t="s">
        <v>1784</v>
      </c>
      <c r="C31" s="2299"/>
      <c r="D31" s="2300"/>
      <c r="E31" s="2301"/>
      <c r="F31" s="2301"/>
      <c r="G31" s="2301"/>
      <c r="H31" s="2301"/>
      <c r="I31" s="2302">
        <f>IF(C31="",0,HLOOKUP(C31,'Part V-Utility Allowances'!$I$11:$M$21,11))</f>
        <v>0</v>
      </c>
      <c r="J31" s="2303"/>
      <c r="K31" s="630">
        <f t="shared" si="1"/>
        <v>0</v>
      </c>
      <c r="L31" s="630">
        <f t="shared" si="2"/>
        <v>0</v>
      </c>
      <c r="M31" s="2304"/>
      <c r="N31" s="2304"/>
      <c r="O31" s="2304"/>
      <c r="P31" s="2305"/>
      <c r="Q31" s="2306" t="str">
        <f t="shared" si="3"/>
        <v/>
      </c>
      <c r="R31" s="2307" t="str">
        <f>IF(H31="","",IF(C31="Efficiency",Q31/($O$6*VLOOKUP(0,'DCA Underwriting Assumptions'!$J$143:$K$148,2,FALSE)),Q31/($O$6*VLOOKUP(C31,'DCA Underwriting Assumptions'!$J$143:$K$148,2,FALSE))))</f>
        <v/>
      </c>
      <c r="S31" s="2308"/>
      <c r="T31" s="2309"/>
      <c r="U31" s="3024"/>
      <c r="V31" s="3025"/>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8" t="s">
        <v>1784</v>
      </c>
      <c r="C32" s="2299"/>
      <c r="D32" s="2300"/>
      <c r="E32" s="2301"/>
      <c r="F32" s="2301"/>
      <c r="G32" s="2301"/>
      <c r="H32" s="2301"/>
      <c r="I32" s="2302">
        <f>IF(C32="",0,HLOOKUP(C32,'Part V-Utility Allowances'!$I$11:$M$21,11))</f>
        <v>0</v>
      </c>
      <c r="J32" s="2303"/>
      <c r="K32" s="630">
        <f t="shared" si="1"/>
        <v>0</v>
      </c>
      <c r="L32" s="630">
        <f t="shared" si="2"/>
        <v>0</v>
      </c>
      <c r="M32" s="2304"/>
      <c r="N32" s="2304"/>
      <c r="O32" s="2304"/>
      <c r="P32" s="2305"/>
      <c r="Q32" s="2306" t="str">
        <f t="shared" si="3"/>
        <v/>
      </c>
      <c r="R32" s="2307" t="str">
        <f>IF(H32="","",IF(C32="Efficiency",Q32/($O$6*VLOOKUP(0,'DCA Underwriting Assumptions'!$J$143:$K$148,2,FALSE)),Q32/($O$6*VLOOKUP(C32,'DCA Underwriting Assumptions'!$J$143:$K$148,2,FALSE))))</f>
        <v/>
      </c>
      <c r="S32" s="2308"/>
      <c r="T32" s="2309"/>
      <c r="U32" s="3024"/>
      <c r="V32" s="3025"/>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8" t="s">
        <v>1784</v>
      </c>
      <c r="C33" s="2299"/>
      <c r="D33" s="2300"/>
      <c r="E33" s="2301"/>
      <c r="F33" s="2301"/>
      <c r="G33" s="2301"/>
      <c r="H33" s="2301"/>
      <c r="I33" s="2302">
        <f>IF(C33="",0,HLOOKUP(C33,'Part V-Utility Allowances'!$I$11:$M$21,11))</f>
        <v>0</v>
      </c>
      <c r="J33" s="2303"/>
      <c r="K33" s="630">
        <f t="shared" si="1"/>
        <v>0</v>
      </c>
      <c r="L33" s="630">
        <f t="shared" si="2"/>
        <v>0</v>
      </c>
      <c r="M33" s="2304"/>
      <c r="N33" s="2304"/>
      <c r="O33" s="2304"/>
      <c r="P33" s="2305"/>
      <c r="Q33" s="2306" t="str">
        <f t="shared" si="3"/>
        <v/>
      </c>
      <c r="R33" s="2307" t="str">
        <f>IF(H33="","",IF(C33="Efficiency",Q33/($O$6*VLOOKUP(0,'DCA Underwriting Assumptions'!$J$143:$K$148,2,FALSE)),Q33/($O$6*VLOOKUP(C33,'DCA Underwriting Assumptions'!$J$143:$K$148,2,FALSE))))</f>
        <v/>
      </c>
      <c r="S33" s="2308"/>
      <c r="T33" s="2309"/>
      <c r="U33" s="3024"/>
      <c r="V33" s="3025"/>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8" t="s">
        <v>1784</v>
      </c>
      <c r="C34" s="2299"/>
      <c r="D34" s="2300"/>
      <c r="E34" s="2301"/>
      <c r="F34" s="2301"/>
      <c r="G34" s="2301"/>
      <c r="H34" s="2301"/>
      <c r="I34" s="2302">
        <f>IF(C34="",0,HLOOKUP(C34,'Part V-Utility Allowances'!$I$11:$M$21,11))</f>
        <v>0</v>
      </c>
      <c r="J34" s="2303"/>
      <c r="K34" s="630">
        <f t="shared" si="1"/>
        <v>0</v>
      </c>
      <c r="L34" s="630">
        <f t="shared" si="2"/>
        <v>0</v>
      </c>
      <c r="M34" s="2304"/>
      <c r="N34" s="2304"/>
      <c r="O34" s="2304"/>
      <c r="P34" s="2305"/>
      <c r="Q34" s="2306" t="str">
        <f t="shared" si="3"/>
        <v/>
      </c>
      <c r="R34" s="2307" t="str">
        <f>IF(H34="","",IF(C34="Efficiency",Q34/($O$6*VLOOKUP(0,'DCA Underwriting Assumptions'!$J$143:$K$148,2,FALSE)),Q34/($O$6*VLOOKUP(C34,'DCA Underwriting Assumptions'!$J$143:$K$148,2,FALSE))))</f>
        <v/>
      </c>
      <c r="S34" s="2308"/>
      <c r="T34" s="2309"/>
      <c r="U34" s="3024"/>
      <c r="V34" s="3025"/>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8" t="s">
        <v>1784</v>
      </c>
      <c r="C35" s="2299"/>
      <c r="D35" s="2300"/>
      <c r="E35" s="2301"/>
      <c r="F35" s="2301"/>
      <c r="G35" s="2301"/>
      <c r="H35" s="2301"/>
      <c r="I35" s="2302">
        <f>IF(C35="",0,HLOOKUP(C35,'Part V-Utility Allowances'!$I$11:$M$21,11))</f>
        <v>0</v>
      </c>
      <c r="J35" s="2303"/>
      <c r="K35" s="630">
        <f t="shared" si="1"/>
        <v>0</v>
      </c>
      <c r="L35" s="630">
        <f t="shared" si="2"/>
        <v>0</v>
      </c>
      <c r="M35" s="2304"/>
      <c r="N35" s="2304"/>
      <c r="O35" s="2304"/>
      <c r="P35" s="2305"/>
      <c r="Q35" s="2306" t="str">
        <f t="shared" si="3"/>
        <v/>
      </c>
      <c r="R35" s="2307" t="str">
        <f>IF(H35="","",IF(C35="Efficiency",Q35/($O$6*VLOOKUP(0,'DCA Underwriting Assumptions'!$J$143:$K$148,2,FALSE)),Q35/($O$6*VLOOKUP(C35,'DCA Underwriting Assumptions'!$J$143:$K$148,2,FALSE))))</f>
        <v/>
      </c>
      <c r="S35" s="2308"/>
      <c r="T35" s="2309"/>
      <c r="U35" s="3024"/>
      <c r="V35" s="3025"/>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8" t="s">
        <v>1784</v>
      </c>
      <c r="C36" s="2299"/>
      <c r="D36" s="2300"/>
      <c r="E36" s="2301"/>
      <c r="F36" s="2301"/>
      <c r="G36" s="2301"/>
      <c r="H36" s="2301"/>
      <c r="I36" s="2302">
        <f>IF(C36="",0,HLOOKUP(C36,'Part V-Utility Allowances'!$I$11:$M$21,11))</f>
        <v>0</v>
      </c>
      <c r="J36" s="2303"/>
      <c r="K36" s="630">
        <f t="shared" si="1"/>
        <v>0</v>
      </c>
      <c r="L36" s="630">
        <f t="shared" si="2"/>
        <v>0</v>
      </c>
      <c r="M36" s="2304"/>
      <c r="N36" s="2304"/>
      <c r="O36" s="2304"/>
      <c r="P36" s="2305"/>
      <c r="Q36" s="2306" t="str">
        <f t="shared" si="3"/>
        <v/>
      </c>
      <c r="R36" s="2307" t="str">
        <f>IF(H36="","",IF(C36="Efficiency",Q36/($O$6*VLOOKUP(0,'DCA Underwriting Assumptions'!$J$143:$K$148,2,FALSE)),Q36/($O$6*VLOOKUP(C36,'DCA Underwriting Assumptions'!$J$143:$K$148,2,FALSE))))</f>
        <v/>
      </c>
      <c r="S36" s="2308"/>
      <c r="T36" s="2309"/>
      <c r="U36" s="3024"/>
      <c r="V36" s="3025"/>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8" t="s">
        <v>1784</v>
      </c>
      <c r="C37" s="2299"/>
      <c r="D37" s="2300"/>
      <c r="E37" s="2301"/>
      <c r="F37" s="2301"/>
      <c r="G37" s="2301"/>
      <c r="H37" s="2301"/>
      <c r="I37" s="2302">
        <f>IF(C37="",0,HLOOKUP(C37,'Part V-Utility Allowances'!$I$11:$M$21,11))</f>
        <v>0</v>
      </c>
      <c r="J37" s="2303"/>
      <c r="K37" s="630">
        <f t="shared" si="1"/>
        <v>0</v>
      </c>
      <c r="L37" s="630">
        <f t="shared" si="2"/>
        <v>0</v>
      </c>
      <c r="M37" s="2304"/>
      <c r="N37" s="2304"/>
      <c r="O37" s="2304"/>
      <c r="P37" s="2305"/>
      <c r="Q37" s="2306" t="str">
        <f t="shared" si="3"/>
        <v/>
      </c>
      <c r="R37" s="2307" t="str">
        <f>IF(H37="","",IF(C37="Efficiency",Q37/($O$6*VLOOKUP(0,'DCA Underwriting Assumptions'!$J$143:$K$148,2,FALSE)),Q37/($O$6*VLOOKUP(C37,'DCA Underwriting Assumptions'!$J$143:$K$148,2,FALSE))))</f>
        <v/>
      </c>
      <c r="S37" s="2308"/>
      <c r="T37" s="2309"/>
      <c r="U37" s="3024"/>
      <c r="V37" s="3025"/>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8" t="s">
        <v>1784</v>
      </c>
      <c r="C38" s="2299"/>
      <c r="D38" s="2300"/>
      <c r="E38" s="2301"/>
      <c r="F38" s="2301"/>
      <c r="G38" s="2301"/>
      <c r="H38" s="2301"/>
      <c r="I38" s="2302">
        <f>IF(C38="",0,HLOOKUP(C38,'Part V-Utility Allowances'!$I$11:$M$21,11))</f>
        <v>0</v>
      </c>
      <c r="J38" s="2303"/>
      <c r="K38" s="630">
        <f t="shared" si="1"/>
        <v>0</v>
      </c>
      <c r="L38" s="630">
        <f t="shared" si="2"/>
        <v>0</v>
      </c>
      <c r="M38" s="2304"/>
      <c r="N38" s="2304"/>
      <c r="O38" s="2304"/>
      <c r="P38" s="2305"/>
      <c r="Q38" s="2306" t="str">
        <f t="shared" si="3"/>
        <v/>
      </c>
      <c r="R38" s="2307" t="str">
        <f>IF(H38="","",IF(C38="Efficiency",Q38/($O$6*VLOOKUP(0,'DCA Underwriting Assumptions'!$J$143:$K$148,2,FALSE)),Q38/($O$6*VLOOKUP(C38,'DCA Underwriting Assumptions'!$J$143:$K$148,2,FALSE))))</f>
        <v/>
      </c>
      <c r="S38" s="2308"/>
      <c r="T38" s="2309"/>
      <c r="U38" s="3024"/>
      <c r="V38" s="3025"/>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8" t="s">
        <v>1784</v>
      </c>
      <c r="C39" s="2299"/>
      <c r="D39" s="2300"/>
      <c r="E39" s="2301"/>
      <c r="F39" s="2301"/>
      <c r="G39" s="2301"/>
      <c r="H39" s="2301"/>
      <c r="I39" s="2302">
        <f>IF(C39="",0,HLOOKUP(C39,'Part V-Utility Allowances'!$I$11:$M$21,11))</f>
        <v>0</v>
      </c>
      <c r="J39" s="2303"/>
      <c r="K39" s="630">
        <f t="shared" si="1"/>
        <v>0</v>
      </c>
      <c r="L39" s="630">
        <f t="shared" si="2"/>
        <v>0</v>
      </c>
      <c r="M39" s="2304"/>
      <c r="N39" s="2304"/>
      <c r="O39" s="2304"/>
      <c r="P39" s="2305"/>
      <c r="Q39" s="2306" t="str">
        <f t="shared" si="3"/>
        <v/>
      </c>
      <c r="R39" s="2307" t="str">
        <f>IF(H39="","",IF(C39="Efficiency",Q39/($O$6*VLOOKUP(0,'DCA Underwriting Assumptions'!$J$143:$K$148,2,FALSE)),Q39/($O$6*VLOOKUP(C39,'DCA Underwriting Assumptions'!$J$143:$K$148,2,FALSE))))</f>
        <v/>
      </c>
      <c r="S39" s="2308"/>
      <c r="T39" s="2309"/>
      <c r="U39" s="3024"/>
      <c r="V39" s="3025"/>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8" t="s">
        <v>1784</v>
      </c>
      <c r="C40" s="2299"/>
      <c r="D40" s="2300"/>
      <c r="E40" s="2301"/>
      <c r="F40" s="2301"/>
      <c r="G40" s="2301"/>
      <c r="H40" s="2301"/>
      <c r="I40" s="2302">
        <f>IF(C40="",0,HLOOKUP(C40,'Part V-Utility Allowances'!$I$11:$M$21,11))</f>
        <v>0</v>
      </c>
      <c r="J40" s="2303"/>
      <c r="K40" s="630">
        <f t="shared" si="1"/>
        <v>0</v>
      </c>
      <c r="L40" s="630">
        <f t="shared" si="2"/>
        <v>0</v>
      </c>
      <c r="M40" s="2304"/>
      <c r="N40" s="2304"/>
      <c r="O40" s="2304"/>
      <c r="P40" s="2305"/>
      <c r="Q40" s="2306" t="str">
        <f t="shared" si="3"/>
        <v/>
      </c>
      <c r="R40" s="2307" t="str">
        <f>IF(H40="","",IF(C40="Efficiency",Q40/($O$6*VLOOKUP(0,'DCA Underwriting Assumptions'!$J$143:$K$148,2,FALSE)),Q40/($O$6*VLOOKUP(C40,'DCA Underwriting Assumptions'!$J$143:$K$148,2,FALSE))))</f>
        <v/>
      </c>
      <c r="S40" s="2308"/>
      <c r="T40" s="2309"/>
      <c r="U40" s="3024"/>
      <c r="V40" s="3025"/>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8" t="s">
        <v>1784</v>
      </c>
      <c r="C41" s="2299"/>
      <c r="D41" s="2300"/>
      <c r="E41" s="2301"/>
      <c r="F41" s="2301"/>
      <c r="G41" s="2301"/>
      <c r="H41" s="2301"/>
      <c r="I41" s="2302">
        <f>IF(C41="",0,HLOOKUP(C41,'Part V-Utility Allowances'!$I$11:$M$21,11))</f>
        <v>0</v>
      </c>
      <c r="J41" s="2303"/>
      <c r="K41" s="630">
        <f t="shared" si="1"/>
        <v>0</v>
      </c>
      <c r="L41" s="630">
        <f t="shared" si="2"/>
        <v>0</v>
      </c>
      <c r="M41" s="2304"/>
      <c r="N41" s="2304"/>
      <c r="O41" s="2304"/>
      <c r="P41" s="2305"/>
      <c r="Q41" s="2306" t="str">
        <f t="shared" si="3"/>
        <v/>
      </c>
      <c r="R41" s="2307" t="str">
        <f>IF(H41="","",IF(C41="Efficiency",Q41/($O$6*VLOOKUP(0,'DCA Underwriting Assumptions'!$J$143:$K$148,2,FALSE)),Q41/($O$6*VLOOKUP(C41,'DCA Underwriting Assumptions'!$J$143:$K$148,2,FALSE))))</f>
        <v/>
      </c>
      <c r="S41" s="2308"/>
      <c r="T41" s="2309"/>
      <c r="U41" s="3024"/>
      <c r="V41" s="3025"/>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8" t="s">
        <v>1784</v>
      </c>
      <c r="C42" s="2299"/>
      <c r="D42" s="2300"/>
      <c r="E42" s="2301"/>
      <c r="F42" s="2301"/>
      <c r="G42" s="2301"/>
      <c r="H42" s="2301"/>
      <c r="I42" s="2302">
        <f>IF(C42="",0,HLOOKUP(C42,'Part V-Utility Allowances'!$I$11:$M$21,11))</f>
        <v>0</v>
      </c>
      <c r="J42" s="2303"/>
      <c r="K42" s="630">
        <f t="shared" si="1"/>
        <v>0</v>
      </c>
      <c r="L42" s="630">
        <f t="shared" si="2"/>
        <v>0</v>
      </c>
      <c r="M42" s="2304"/>
      <c r="N42" s="2304"/>
      <c r="O42" s="2304"/>
      <c r="P42" s="2305"/>
      <c r="Q42" s="2306" t="str">
        <f t="shared" si="3"/>
        <v/>
      </c>
      <c r="R42" s="2307" t="str">
        <f>IF(H42="","",IF(C42="Efficiency",Q42/($O$6*VLOOKUP(0,'DCA Underwriting Assumptions'!$J$143:$K$148,2,FALSE)),Q42/($O$6*VLOOKUP(C42,'DCA Underwriting Assumptions'!$J$143:$K$148,2,FALSE))))</f>
        <v/>
      </c>
      <c r="S42" s="2308"/>
      <c r="T42" s="2309"/>
      <c r="U42" s="3024"/>
      <c r="V42" s="3025"/>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8" t="s">
        <v>1784</v>
      </c>
      <c r="C43" s="2299"/>
      <c r="D43" s="2300"/>
      <c r="E43" s="2301"/>
      <c r="F43" s="2301"/>
      <c r="G43" s="2301"/>
      <c r="H43" s="2301"/>
      <c r="I43" s="2302">
        <f>IF(C43="",0,HLOOKUP(C43,'Part V-Utility Allowances'!$I$11:$M$21,11))</f>
        <v>0</v>
      </c>
      <c r="J43" s="2303"/>
      <c r="K43" s="630">
        <f t="shared" si="1"/>
        <v>0</v>
      </c>
      <c r="L43" s="630">
        <f t="shared" si="2"/>
        <v>0</v>
      </c>
      <c r="M43" s="2304"/>
      <c r="N43" s="2304"/>
      <c r="O43" s="2304"/>
      <c r="P43" s="2305"/>
      <c r="Q43" s="2306" t="str">
        <f t="shared" si="3"/>
        <v/>
      </c>
      <c r="R43" s="2307" t="str">
        <f>IF(H43="","",IF(C43="Efficiency",Q43/($O$6*VLOOKUP(0,'DCA Underwriting Assumptions'!$J$143:$K$148,2,FALSE)),Q43/($O$6*VLOOKUP(C43,'DCA Underwriting Assumptions'!$J$143:$K$148,2,FALSE))))</f>
        <v/>
      </c>
      <c r="S43" s="2308"/>
      <c r="T43" s="2309"/>
      <c r="U43" s="3024"/>
      <c r="V43" s="3025"/>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8" t="s">
        <v>1784</v>
      </c>
      <c r="C44" s="2299"/>
      <c r="D44" s="2300"/>
      <c r="E44" s="2301"/>
      <c r="F44" s="2301"/>
      <c r="G44" s="2301"/>
      <c r="H44" s="2301"/>
      <c r="I44" s="2302">
        <f>IF(C44="",0,HLOOKUP(C44,'Part V-Utility Allowances'!$I$11:$M$21,11))</f>
        <v>0</v>
      </c>
      <c r="J44" s="2303"/>
      <c r="K44" s="630">
        <f t="shared" si="1"/>
        <v>0</v>
      </c>
      <c r="L44" s="630">
        <f t="shared" si="2"/>
        <v>0</v>
      </c>
      <c r="M44" s="2304"/>
      <c r="N44" s="2304"/>
      <c r="O44" s="2304"/>
      <c r="P44" s="2305"/>
      <c r="Q44" s="2306" t="str">
        <f t="shared" si="3"/>
        <v/>
      </c>
      <c r="R44" s="2307" t="str">
        <f>IF(H44="","",IF(C44="Efficiency",Q44/($O$6*VLOOKUP(0,'DCA Underwriting Assumptions'!$J$143:$K$148,2,FALSE)),Q44/($O$6*VLOOKUP(C44,'DCA Underwriting Assumptions'!$J$143:$K$148,2,FALSE))))</f>
        <v/>
      </c>
      <c r="S44" s="2308"/>
      <c r="T44" s="2309"/>
      <c r="U44" s="3024"/>
      <c r="V44" s="3025"/>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8" t="s">
        <v>1784</v>
      </c>
      <c r="C45" s="2299"/>
      <c r="D45" s="2300"/>
      <c r="E45" s="2301"/>
      <c r="F45" s="2301"/>
      <c r="G45" s="2301"/>
      <c r="H45" s="2301"/>
      <c r="I45" s="2302">
        <f>IF(C45="",0,HLOOKUP(C45,'Part V-Utility Allowances'!$I$11:$M$21,11))</f>
        <v>0</v>
      </c>
      <c r="J45" s="2303"/>
      <c r="K45" s="630">
        <f t="shared" si="1"/>
        <v>0</v>
      </c>
      <c r="L45" s="630">
        <f t="shared" si="2"/>
        <v>0</v>
      </c>
      <c r="M45" s="2304"/>
      <c r="N45" s="2304"/>
      <c r="O45" s="2304"/>
      <c r="P45" s="2305"/>
      <c r="Q45" s="2306" t="str">
        <f t="shared" si="3"/>
        <v/>
      </c>
      <c r="R45" s="2307" t="str">
        <f>IF(H45="","",IF(C45="Efficiency",Q45/($O$6*VLOOKUP(0,'DCA Underwriting Assumptions'!$J$143:$K$148,2,FALSE)),Q45/($O$6*VLOOKUP(C45,'DCA Underwriting Assumptions'!$J$143:$K$148,2,FALSE))))</f>
        <v/>
      </c>
      <c r="S45" s="2308"/>
      <c r="T45" s="2309"/>
      <c r="U45" s="3024"/>
      <c r="V45" s="3025"/>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8" t="s">
        <v>1784</v>
      </c>
      <c r="C46" s="2299"/>
      <c r="D46" s="2300"/>
      <c r="E46" s="2301"/>
      <c r="F46" s="2301"/>
      <c r="G46" s="2301"/>
      <c r="H46" s="2301"/>
      <c r="I46" s="2302">
        <f>IF(C46="",0,HLOOKUP(C46,'Part V-Utility Allowances'!$I$11:$M$21,11))</f>
        <v>0</v>
      </c>
      <c r="J46" s="2303"/>
      <c r="K46" s="630">
        <f t="shared" si="1"/>
        <v>0</v>
      </c>
      <c r="L46" s="630">
        <f t="shared" si="2"/>
        <v>0</v>
      </c>
      <c r="M46" s="2304"/>
      <c r="N46" s="2304"/>
      <c r="O46" s="2304"/>
      <c r="P46" s="2305"/>
      <c r="Q46" s="2306" t="str">
        <f t="shared" si="3"/>
        <v/>
      </c>
      <c r="R46" s="2307" t="str">
        <f>IF(H46="","",IF(C46="Efficiency",Q46/($O$6*VLOOKUP(0,'DCA Underwriting Assumptions'!$J$143:$K$148,2,FALSE)),Q46/($O$6*VLOOKUP(C46,'DCA Underwriting Assumptions'!$J$143:$K$148,2,FALSE))))</f>
        <v/>
      </c>
      <c r="S46" s="2308"/>
      <c r="T46" s="2309"/>
      <c r="U46" s="3024"/>
      <c r="V46" s="3025"/>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10" t="s">
        <v>1784</v>
      </c>
      <c r="C47" s="2311"/>
      <c r="D47" s="2312"/>
      <c r="E47" s="2313"/>
      <c r="F47" s="2313"/>
      <c r="G47" s="2313"/>
      <c r="H47" s="2313"/>
      <c r="I47" s="2314">
        <f>IF(C47="",0,HLOOKUP(C47,'Part V-Utility Allowances'!$I$11:$M$21,11))</f>
        <v>0</v>
      </c>
      <c r="J47" s="2315"/>
      <c r="K47" s="631">
        <f t="shared" si="1"/>
        <v>0</v>
      </c>
      <c r="L47" s="631">
        <f t="shared" si="2"/>
        <v>0</v>
      </c>
      <c r="M47" s="2316"/>
      <c r="N47" s="2316"/>
      <c r="O47" s="2316"/>
      <c r="P47" s="2317"/>
      <c r="Q47" s="2318" t="str">
        <f t="shared" si="3"/>
        <v/>
      </c>
      <c r="R47" s="2319" t="str">
        <f>IF(H47="","",IF(C47="Efficiency",Q47/($O$6*VLOOKUP(0,'DCA Underwriting Assumptions'!$J$143:$K$148,2,FALSE)),Q47/($O$6*VLOOKUP(C47,'DCA Underwriting Assumptions'!$J$143:$K$148,2,FALSE))))</f>
        <v/>
      </c>
      <c r="S47" s="2320"/>
      <c r="T47" s="2321"/>
      <c r="U47" s="3075"/>
      <c r="V47" s="307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123</v>
      </c>
      <c r="F48" s="974">
        <f>(E10*F10+E11*F11+E12*F12+E13*F13+E14*F14+E15*F15+E16*F16+E17*F17+E18*F18+E19*F19+E20*F20+E21*F21+E22*F22+E23*F23+E24*F24+E25*F25+E26*F26+E27*F27+E28*F28+E29*F29+E30*F30+E31*F31+E32*F32+E33*F33+E34*F34+E35*F35+E36*F36+E37*F37+E38*F38+E39*F39+E40*F40+E41*F41+E42*F42+E43*F43+E44*F44+E45*F45+E46*F46+E47*F47)</f>
        <v>73080</v>
      </c>
      <c r="G48" s="603"/>
      <c r="H48" s="604"/>
      <c r="I48" s="604"/>
      <c r="J48" s="604"/>
      <c r="K48" s="977" t="s">
        <v>1314</v>
      </c>
      <c r="L48" s="127">
        <f>SUM(L10:L47)</f>
        <v>70980.149999999994</v>
      </c>
      <c r="M48" s="97"/>
      <c r="N48" s="605"/>
      <c r="O48" s="97"/>
      <c r="P48" s="490"/>
      <c r="Q48" s="490"/>
      <c r="R48" s="490"/>
      <c r="S48" s="490"/>
      <c r="T48" s="490"/>
      <c r="U48" s="955"/>
      <c r="V48" s="606"/>
      <c r="W48" s="607">
        <f t="shared" ref="W48:CH48" si="259">SUM(W10:W47)</f>
        <v>76</v>
      </c>
      <c r="X48" s="607">
        <f t="shared" si="259"/>
        <v>22</v>
      </c>
      <c r="Y48" s="607">
        <f t="shared" si="259"/>
        <v>0</v>
      </c>
      <c r="Z48" s="607">
        <f t="shared" si="259"/>
        <v>0</v>
      </c>
      <c r="AA48" s="607">
        <f t="shared" si="259"/>
        <v>0</v>
      </c>
      <c r="AB48" s="607">
        <f t="shared" si="259"/>
        <v>19</v>
      </c>
      <c r="AC48" s="607">
        <f t="shared" si="259"/>
        <v>6</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40080</v>
      </c>
      <c r="CA48" s="607">
        <f t="shared" si="259"/>
        <v>18040</v>
      </c>
      <c r="CB48" s="607">
        <f t="shared" si="259"/>
        <v>0</v>
      </c>
      <c r="CC48" s="607">
        <f t="shared" si="259"/>
        <v>0</v>
      </c>
      <c r="CD48" s="607">
        <f t="shared" si="259"/>
        <v>0</v>
      </c>
      <c r="CE48" s="607">
        <f t="shared" si="259"/>
        <v>10040</v>
      </c>
      <c r="CF48" s="607">
        <f t="shared" si="259"/>
        <v>4920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95</v>
      </c>
      <c r="EI48" s="607">
        <f t="shared" si="260"/>
        <v>28</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95</v>
      </c>
      <c r="EX48" s="476">
        <f t="shared" si="261"/>
        <v>28</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95</v>
      </c>
      <c r="HU48" s="476">
        <f t="shared" si="262"/>
        <v>28</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95</v>
      </c>
      <c r="JD48" s="476">
        <f t="shared" si="262"/>
        <v>28</v>
      </c>
      <c r="JE48" s="476">
        <f t="shared" si="262"/>
        <v>0</v>
      </c>
      <c r="JF48" s="476">
        <f t="shared" si="262"/>
        <v>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851761.79999999993</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27" t="s">
        <v>2638</v>
      </c>
      <c r="B51" s="3028"/>
      <c r="C51" s="3028"/>
      <c r="D51" s="3028"/>
      <c r="E51" s="3028"/>
      <c r="F51" s="3028"/>
      <c r="G51" s="3028"/>
      <c r="H51" s="3028"/>
      <c r="I51" s="3028"/>
      <c r="J51" s="3028"/>
      <c r="K51" s="3028"/>
      <c r="L51" s="3028"/>
      <c r="M51" s="3028"/>
      <c r="N51" s="3028"/>
      <c r="O51" s="3028"/>
      <c r="P51" s="3028"/>
      <c r="Q51" s="2322"/>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28"/>
      <c r="B52" s="3028"/>
      <c r="C52" s="3028"/>
      <c r="D52" s="3028"/>
      <c r="E52" s="3028"/>
      <c r="F52" s="3028"/>
      <c r="G52" s="3028"/>
      <c r="H52" s="3028"/>
      <c r="I52" s="3028"/>
      <c r="J52" s="3028"/>
      <c r="K52" s="3028"/>
      <c r="L52" s="3028"/>
      <c r="M52" s="3028"/>
      <c r="N52" s="3028"/>
      <c r="O52" s="3028"/>
      <c r="P52" s="3028"/>
      <c r="Q52" s="2322"/>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77" t="str">
        <f>B53</f>
        <v>UNIT SUMMARY</v>
      </c>
      <c r="S53" s="3077"/>
      <c r="T53" s="3077"/>
      <c r="U53" s="3077"/>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76</v>
      </c>
      <c r="K56" s="1029">
        <f>X48</f>
        <v>22</v>
      </c>
      <c r="L56" s="1029">
        <f>Y48</f>
        <v>0</v>
      </c>
      <c r="M56" s="1029">
        <f>Z48</f>
        <v>0</v>
      </c>
      <c r="N56" s="1029">
        <f>AA48</f>
        <v>0</v>
      </c>
      <c r="O56" s="1029">
        <f t="shared" ref="O56:O62" si="263">SUM(J56:N56)</f>
        <v>98</v>
      </c>
      <c r="P56" s="3019" t="s">
        <v>3695</v>
      </c>
      <c r="Q56" s="1594"/>
      <c r="R56" s="3031"/>
      <c r="S56" s="3080"/>
      <c r="T56" s="3080"/>
      <c r="U56" s="3080"/>
      <c r="V56" s="3032"/>
      <c r="W56" s="490"/>
      <c r="Z56" s="490"/>
      <c r="AA56" s="53"/>
      <c r="AB56" s="604"/>
      <c r="AC56" s="604"/>
      <c r="AD56" s="604"/>
      <c r="AE56" s="604"/>
      <c r="AF56" s="604"/>
      <c r="AG56" s="604"/>
      <c r="AH56" s="53"/>
      <c r="AI56" s="97"/>
      <c r="IL56" s="477"/>
      <c r="JA56" s="464"/>
    </row>
    <row r="57" spans="1:296" ht="12" customHeight="1">
      <c r="A57" s="3020" t="s">
        <v>444</v>
      </c>
      <c r="B57" s="3020"/>
      <c r="C57" s="4"/>
      <c r="D57" s="1"/>
      <c r="E57" s="1"/>
      <c r="F57" s="1"/>
      <c r="G57" s="85"/>
      <c r="H57" s="37" t="s">
        <v>119</v>
      </c>
      <c r="I57" s="85"/>
      <c r="J57" s="636">
        <f>AB48</f>
        <v>19</v>
      </c>
      <c r="K57" s="636">
        <f>AC48</f>
        <v>6</v>
      </c>
      <c r="L57" s="636">
        <f>AD48</f>
        <v>0</v>
      </c>
      <c r="M57" s="636">
        <f>AE48</f>
        <v>0</v>
      </c>
      <c r="N57" s="636">
        <f>AF48</f>
        <v>0</v>
      </c>
      <c r="O57" s="636">
        <f t="shared" si="263"/>
        <v>25</v>
      </c>
      <c r="P57" s="3019"/>
      <c r="Q57" s="1594"/>
      <c r="R57" s="3024"/>
      <c r="S57" s="3079"/>
      <c r="T57" s="3079"/>
      <c r="U57" s="3079"/>
      <c r="V57" s="3025"/>
      <c r="W57" s="10"/>
      <c r="Z57" s="490"/>
      <c r="AA57" s="53"/>
      <c r="AB57" s="604"/>
      <c r="AC57" s="604"/>
      <c r="AD57" s="604"/>
      <c r="AE57" s="604"/>
      <c r="AF57" s="604"/>
      <c r="AG57" s="604"/>
      <c r="AH57" s="53"/>
      <c r="AI57" s="97"/>
      <c r="IL57" s="477"/>
      <c r="JA57" s="464"/>
    </row>
    <row r="58" spans="1:296" ht="12" customHeight="1">
      <c r="A58" s="3020"/>
      <c r="B58" s="3020"/>
      <c r="C58" s="4"/>
      <c r="D58" s="1"/>
      <c r="E58" s="1"/>
      <c r="F58" s="1"/>
      <c r="G58" s="85"/>
      <c r="H58" s="37" t="s">
        <v>544</v>
      </c>
      <c r="I58" s="85"/>
      <c r="J58" s="632">
        <f>SUM(J56:J57)</f>
        <v>95</v>
      </c>
      <c r="K58" s="632">
        <f>SUM(K56:K57)</f>
        <v>28</v>
      </c>
      <c r="L58" s="632">
        <f>SUM(L56:L57)</f>
        <v>0</v>
      </c>
      <c r="M58" s="632">
        <f>SUM(M56:M57)</f>
        <v>0</v>
      </c>
      <c r="N58" s="632">
        <f>SUM(N56:N57)</f>
        <v>0</v>
      </c>
      <c r="O58" s="632">
        <f t="shared" si="263"/>
        <v>123</v>
      </c>
      <c r="P58" s="3019"/>
      <c r="R58" s="3024"/>
      <c r="S58" s="3079"/>
      <c r="T58" s="3079"/>
      <c r="U58" s="3079"/>
      <c r="V58" s="3025"/>
      <c r="W58" s="10"/>
      <c r="Z58" s="490"/>
      <c r="AA58" s="53"/>
      <c r="AB58" s="604"/>
      <c r="AC58" s="604"/>
      <c r="AD58" s="604"/>
      <c r="AE58" s="604"/>
      <c r="AF58" s="604"/>
      <c r="AG58" s="604"/>
      <c r="AH58" s="53"/>
      <c r="AI58" s="97"/>
      <c r="IL58" s="477"/>
      <c r="JA58" s="464"/>
    </row>
    <row r="59" spans="1:296" ht="12" customHeight="1">
      <c r="A59" s="3020"/>
      <c r="B59" s="3020"/>
      <c r="C59" s="97" t="s">
        <v>305</v>
      </c>
      <c r="D59" s="1"/>
      <c r="E59" s="1"/>
      <c r="F59" s="1"/>
      <c r="G59" s="85"/>
      <c r="H59" s="37"/>
      <c r="I59" s="85"/>
      <c r="J59" s="633">
        <f>AL48</f>
        <v>0</v>
      </c>
      <c r="K59" s="633">
        <f>AM48</f>
        <v>0</v>
      </c>
      <c r="L59" s="633">
        <f>AN48</f>
        <v>0</v>
      </c>
      <c r="M59" s="633">
        <f>AO48</f>
        <v>0</v>
      </c>
      <c r="N59" s="633">
        <f>AP48</f>
        <v>0</v>
      </c>
      <c r="O59" s="633">
        <f t="shared" si="263"/>
        <v>0</v>
      </c>
      <c r="R59" s="3024"/>
      <c r="S59" s="3079"/>
      <c r="T59" s="3079"/>
      <c r="U59" s="3079"/>
      <c r="V59" s="3025"/>
      <c r="W59" s="97"/>
      <c r="Z59" s="490"/>
      <c r="AA59" s="53"/>
      <c r="AB59" s="604"/>
      <c r="AC59" s="604"/>
      <c r="AD59" s="604"/>
      <c r="AE59" s="604"/>
      <c r="AF59" s="604"/>
      <c r="AG59" s="604"/>
      <c r="AH59" s="430"/>
      <c r="AI59" s="97"/>
      <c r="IL59" s="477"/>
      <c r="JA59" s="464"/>
    </row>
    <row r="60" spans="1:296" ht="12" customHeight="1">
      <c r="A60" s="3020"/>
      <c r="B60" s="3020"/>
      <c r="C60" s="97" t="s">
        <v>1148</v>
      </c>
      <c r="D60" s="1"/>
      <c r="E60" s="1"/>
      <c r="F60" s="1"/>
      <c r="G60" s="85"/>
      <c r="H60" s="37"/>
      <c r="I60" s="85"/>
      <c r="J60" s="632">
        <f>SUM(J58:J59)</f>
        <v>95</v>
      </c>
      <c r="K60" s="632">
        <f>SUM(K58:K59)</f>
        <v>28</v>
      </c>
      <c r="L60" s="632">
        <f>SUM(L58:L59)</f>
        <v>0</v>
      </c>
      <c r="M60" s="632">
        <f>SUM(M58:M59)</f>
        <v>0</v>
      </c>
      <c r="N60" s="632">
        <f>SUM(N58:N59)</f>
        <v>0</v>
      </c>
      <c r="O60" s="632">
        <f t="shared" si="263"/>
        <v>123</v>
      </c>
      <c r="R60" s="3024"/>
      <c r="S60" s="3079"/>
      <c r="T60" s="3079"/>
      <c r="U60" s="3079"/>
      <c r="V60" s="3025"/>
      <c r="W60" s="490"/>
      <c r="Z60" s="490"/>
      <c r="AA60" s="53"/>
      <c r="AB60" s="604"/>
      <c r="AC60" s="604"/>
      <c r="AD60" s="604"/>
      <c r="AE60" s="604"/>
      <c r="AF60" s="604"/>
      <c r="AG60" s="604"/>
      <c r="AH60" s="430"/>
      <c r="AI60" s="97"/>
      <c r="IL60" s="477"/>
      <c r="JA60" s="464"/>
    </row>
    <row r="61" spans="1:296" ht="12" customHeight="1">
      <c r="A61" s="3020"/>
      <c r="B61" s="3020"/>
      <c r="C61" s="97" t="s">
        <v>2528</v>
      </c>
      <c r="D61" s="1"/>
      <c r="E61" s="1"/>
      <c r="F61" s="1"/>
      <c r="G61" s="85"/>
      <c r="H61" s="37"/>
      <c r="I61" s="85"/>
      <c r="J61" s="633">
        <f>BU48</f>
        <v>0</v>
      </c>
      <c r="K61" s="633">
        <f>BV48</f>
        <v>0</v>
      </c>
      <c r="L61" s="633">
        <f>BW48</f>
        <v>0</v>
      </c>
      <c r="M61" s="633">
        <f>BX48</f>
        <v>0</v>
      </c>
      <c r="N61" s="633">
        <f>BY48</f>
        <v>0</v>
      </c>
      <c r="O61" s="633">
        <f t="shared" si="263"/>
        <v>0</v>
      </c>
      <c r="P61" s="517" t="s">
        <v>3696</v>
      </c>
      <c r="R61" s="3024"/>
      <c r="S61" s="3079"/>
      <c r="T61" s="3079"/>
      <c r="U61" s="3079"/>
      <c r="V61" s="3025"/>
      <c r="W61" s="490"/>
      <c r="Z61" s="490"/>
      <c r="AA61" s="53"/>
      <c r="AB61" s="604"/>
      <c r="AC61" s="604"/>
      <c r="AD61" s="604"/>
      <c r="AE61" s="604"/>
      <c r="AF61" s="604"/>
      <c r="AG61" s="604"/>
      <c r="AH61" s="53"/>
      <c r="AI61" s="97"/>
      <c r="IL61" s="477"/>
      <c r="JA61" s="464"/>
    </row>
    <row r="62" spans="1:296" ht="12" customHeight="1">
      <c r="A62" s="3020"/>
      <c r="B62" s="3020"/>
      <c r="C62" s="97" t="s">
        <v>544</v>
      </c>
      <c r="D62" s="1"/>
      <c r="E62" s="1"/>
      <c r="F62" s="1"/>
      <c r="G62" s="85"/>
      <c r="H62" s="37"/>
      <c r="I62" s="85"/>
      <c r="J62" s="634">
        <f>SUM(J60:J61)</f>
        <v>95</v>
      </c>
      <c r="K62" s="634">
        <f>SUM(K60:K61)</f>
        <v>28</v>
      </c>
      <c r="L62" s="634">
        <f>SUM(L60:L61)</f>
        <v>0</v>
      </c>
      <c r="M62" s="634">
        <f>SUM(M60:M61)</f>
        <v>0</v>
      </c>
      <c r="N62" s="634">
        <f>SUM(N60:N61)</f>
        <v>0</v>
      </c>
      <c r="O62" s="634">
        <f t="shared" si="263"/>
        <v>123</v>
      </c>
      <c r="R62" s="3075"/>
      <c r="S62" s="3078"/>
      <c r="T62" s="3078"/>
      <c r="U62" s="3078"/>
      <c r="V62" s="3076"/>
      <c r="W62" s="490"/>
      <c r="Z62" s="490"/>
      <c r="AA62" s="53"/>
      <c r="AB62" s="604"/>
      <c r="AC62" s="604"/>
      <c r="AD62" s="604"/>
      <c r="AE62" s="604"/>
      <c r="AF62" s="604"/>
      <c r="AG62" s="604"/>
      <c r="AH62" s="488"/>
      <c r="AI62" s="97"/>
      <c r="IL62" s="477"/>
      <c r="JA62" s="464"/>
    </row>
    <row r="63" spans="1:296" ht="9" customHeight="1">
      <c r="A63" s="3020"/>
      <c r="B63" s="3020"/>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0"/>
      <c r="B64" s="3020"/>
      <c r="C64" s="97" t="s">
        <v>943</v>
      </c>
      <c r="D64" s="1"/>
      <c r="E64" s="113"/>
      <c r="F64" s="1"/>
      <c r="G64" s="85"/>
      <c r="H64" s="37" t="s">
        <v>1159</v>
      </c>
      <c r="I64" s="85"/>
      <c r="J64" s="1029">
        <f>BA48</f>
        <v>0</v>
      </c>
      <c r="K64" s="1029">
        <f>BB48</f>
        <v>0</v>
      </c>
      <c r="L64" s="1029">
        <f>BC48</f>
        <v>0</v>
      </c>
      <c r="M64" s="1029">
        <f>BD48</f>
        <v>0</v>
      </c>
      <c r="N64" s="1029">
        <f>BE48</f>
        <v>0</v>
      </c>
      <c r="O64" s="1029">
        <f>SUM(J64:N64)</f>
        <v>0</v>
      </c>
      <c r="R64" s="3031"/>
      <c r="S64" s="3080"/>
      <c r="T64" s="3080"/>
      <c r="U64" s="3080"/>
      <c r="V64" s="3032"/>
      <c r="W64" s="490"/>
      <c r="Z64" s="490"/>
      <c r="AA64" s="53"/>
      <c r="AB64" s="604"/>
      <c r="AC64" s="604"/>
      <c r="AD64" s="604"/>
      <c r="AE64" s="604"/>
      <c r="AF64" s="604"/>
      <c r="AG64" s="604"/>
      <c r="AH64" s="53"/>
      <c r="AI64" s="97"/>
      <c r="IL64" s="477"/>
      <c r="JA64" s="464"/>
    </row>
    <row r="65" spans="1:261" ht="12" customHeight="1">
      <c r="A65" s="3020"/>
      <c r="B65" s="3020"/>
      <c r="C65" s="37" t="s">
        <v>2529</v>
      </c>
      <c r="D65" s="1"/>
      <c r="E65" s="113"/>
      <c r="F65" s="1"/>
      <c r="G65" s="85"/>
      <c r="H65" s="37" t="s">
        <v>119</v>
      </c>
      <c r="I65" s="85"/>
      <c r="J65" s="636">
        <f>AV48</f>
        <v>0</v>
      </c>
      <c r="K65" s="636">
        <f>AW48</f>
        <v>0</v>
      </c>
      <c r="L65" s="636">
        <f>AX48</f>
        <v>0</v>
      </c>
      <c r="M65" s="636">
        <f>AY48</f>
        <v>0</v>
      </c>
      <c r="N65" s="636">
        <f>AZ48</f>
        <v>0</v>
      </c>
      <c r="O65" s="636">
        <f>SUM(J65:N65)</f>
        <v>0</v>
      </c>
      <c r="R65" s="3024"/>
      <c r="S65" s="3079"/>
      <c r="T65" s="3079"/>
      <c r="U65" s="3079"/>
      <c r="V65" s="3025"/>
      <c r="W65" s="53"/>
      <c r="Z65" s="490"/>
      <c r="AA65" s="53"/>
      <c r="AB65" s="604"/>
      <c r="AC65" s="604"/>
      <c r="AD65" s="604"/>
      <c r="AE65" s="604"/>
      <c r="AF65" s="604"/>
      <c r="AG65" s="604"/>
      <c r="AH65" s="53"/>
      <c r="AI65" s="97"/>
      <c r="IL65" s="477"/>
      <c r="JA65" s="464"/>
    </row>
    <row r="66" spans="1:261" ht="12" customHeight="1">
      <c r="A66" s="3020"/>
      <c r="B66" s="3020"/>
      <c r="C66" s="4"/>
      <c r="D66" s="1"/>
      <c r="E66" s="113"/>
      <c r="F66" s="1"/>
      <c r="G66" s="85"/>
      <c r="H66" s="37" t="s">
        <v>544</v>
      </c>
      <c r="I66" s="85"/>
      <c r="J66" s="634">
        <f>SUM(J64:J65)</f>
        <v>0</v>
      </c>
      <c r="K66" s="634">
        <f>SUM(K64:K65)</f>
        <v>0</v>
      </c>
      <c r="L66" s="634">
        <f>SUM(L64:L65)</f>
        <v>0</v>
      </c>
      <c r="M66" s="634">
        <f>SUM(M64:M65)</f>
        <v>0</v>
      </c>
      <c r="N66" s="634">
        <f>SUM(N64:N65)</f>
        <v>0</v>
      </c>
      <c r="O66" s="634">
        <f>SUM(J66:N66)</f>
        <v>0</v>
      </c>
      <c r="R66" s="3075"/>
      <c r="S66" s="3078"/>
      <c r="T66" s="3078"/>
      <c r="U66" s="3078"/>
      <c r="V66" s="3076"/>
      <c r="W66" s="10"/>
      <c r="Z66" s="490"/>
      <c r="AA66" s="53"/>
      <c r="AB66" s="604"/>
      <c r="AC66" s="604"/>
      <c r="AD66" s="604"/>
      <c r="AE66" s="604"/>
      <c r="AF66" s="604"/>
      <c r="AG66" s="604"/>
      <c r="AH66" s="53"/>
      <c r="AI66" s="97"/>
      <c r="IL66" s="477"/>
      <c r="JA66" s="464"/>
    </row>
    <row r="67" spans="1:261" ht="9" customHeight="1">
      <c r="A67" s="3020"/>
      <c r="B67" s="3020"/>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0"/>
      <c r="B68" s="3020"/>
      <c r="C68" s="3021" t="s">
        <v>899</v>
      </c>
      <c r="D68" s="3021"/>
      <c r="E68" s="3021"/>
      <c r="F68" s="1"/>
      <c r="G68" s="85"/>
      <c r="H68" s="37" t="s">
        <v>1159</v>
      </c>
      <c r="I68" s="85"/>
      <c r="J68" s="1029">
        <f>BP48</f>
        <v>0</v>
      </c>
      <c r="K68" s="1029">
        <f>BQ48</f>
        <v>0</v>
      </c>
      <c r="L68" s="1029">
        <f>BR48</f>
        <v>0</v>
      </c>
      <c r="M68" s="1029">
        <f>BS48</f>
        <v>0</v>
      </c>
      <c r="N68" s="1029">
        <f>BT48</f>
        <v>0</v>
      </c>
      <c r="O68" s="1029">
        <f>SUM(J68:N68)</f>
        <v>0</v>
      </c>
      <c r="R68" s="3031"/>
      <c r="S68" s="3080"/>
      <c r="T68" s="3080"/>
      <c r="U68" s="3080"/>
      <c r="V68" s="3032"/>
      <c r="W68" s="97"/>
      <c r="Z68" s="490"/>
      <c r="AA68" s="53"/>
      <c r="AB68" s="604"/>
      <c r="AC68" s="604"/>
      <c r="AD68" s="604"/>
      <c r="AE68" s="604"/>
      <c r="AF68" s="604"/>
      <c r="AG68" s="604"/>
      <c r="AH68" s="53"/>
      <c r="AI68" s="97"/>
      <c r="IL68" s="477"/>
      <c r="JA68" s="464"/>
    </row>
    <row r="69" spans="1:261" ht="12" customHeight="1">
      <c r="A69" s="3020"/>
      <c r="B69" s="3020"/>
      <c r="C69" s="3021"/>
      <c r="D69" s="3021"/>
      <c r="E69" s="3021"/>
      <c r="F69" s="1"/>
      <c r="G69" s="85"/>
      <c r="H69" s="37" t="s">
        <v>119</v>
      </c>
      <c r="I69" s="85"/>
      <c r="J69" s="636">
        <f>BK48</f>
        <v>0</v>
      </c>
      <c r="K69" s="636">
        <f>BL48</f>
        <v>0</v>
      </c>
      <c r="L69" s="636">
        <f>BM48</f>
        <v>0</v>
      </c>
      <c r="M69" s="636">
        <f>BN48</f>
        <v>0</v>
      </c>
      <c r="N69" s="636">
        <f>BO48</f>
        <v>0</v>
      </c>
      <c r="O69" s="636">
        <f>SUM(J69:N69)</f>
        <v>0</v>
      </c>
      <c r="R69" s="3024"/>
      <c r="S69" s="3079"/>
      <c r="T69" s="3079"/>
      <c r="U69" s="3079"/>
      <c r="V69" s="3025"/>
      <c r="W69" s="37"/>
      <c r="Z69" s="490"/>
      <c r="AA69" s="53"/>
      <c r="AB69" s="604"/>
      <c r="AC69" s="604"/>
      <c r="AD69" s="604"/>
      <c r="AE69" s="604"/>
      <c r="AF69" s="604"/>
      <c r="AG69" s="604"/>
      <c r="AH69" s="53"/>
      <c r="AI69" s="97"/>
      <c r="IL69" s="477"/>
      <c r="JA69" s="464"/>
    </row>
    <row r="70" spans="1:261" ht="12" customHeight="1">
      <c r="A70" s="3020"/>
      <c r="B70" s="3020"/>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075"/>
      <c r="S70" s="3078"/>
      <c r="T70" s="3078"/>
      <c r="U70" s="3078"/>
      <c r="V70" s="3076"/>
      <c r="W70" s="10"/>
      <c r="Z70" s="490"/>
      <c r="AA70" s="53"/>
      <c r="AB70" s="604"/>
      <c r="AC70" s="604"/>
      <c r="AD70" s="604"/>
      <c r="AE70" s="604"/>
      <c r="AF70" s="604"/>
      <c r="AG70" s="604"/>
      <c r="AH70" s="53"/>
      <c r="AI70" s="97"/>
      <c r="IL70" s="477"/>
      <c r="JA70" s="464"/>
    </row>
    <row r="71" spans="1:261" ht="9" customHeight="1">
      <c r="A71" s="3020"/>
      <c r="B71" s="3020"/>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0"/>
      <c r="B72" s="3020"/>
      <c r="C72" s="3022" t="s">
        <v>39</v>
      </c>
      <c r="D72" s="3022"/>
      <c r="E72" s="106" t="s">
        <v>2311</v>
      </c>
      <c r="F72" s="1"/>
      <c r="G72" s="85"/>
      <c r="H72" s="37" t="s">
        <v>1444</v>
      </c>
      <c r="I72" s="85"/>
      <c r="J72" s="632">
        <f>DD48</f>
        <v>0</v>
      </c>
      <c r="K72" s="632">
        <f>DE48</f>
        <v>0</v>
      </c>
      <c r="L72" s="632">
        <f>DF48</f>
        <v>0</v>
      </c>
      <c r="M72" s="632">
        <f>DG48</f>
        <v>0</v>
      </c>
      <c r="N72" s="632">
        <f>DH48</f>
        <v>0</v>
      </c>
      <c r="O72" s="632">
        <f t="shared" ref="O72:O82" si="264">SUM(J72:N72)</f>
        <v>0</v>
      </c>
      <c r="R72" s="3031"/>
      <c r="S72" s="3080"/>
      <c r="T72" s="3080"/>
      <c r="U72" s="3080"/>
      <c r="V72" s="3032"/>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0"/>
      <c r="B73" s="3020"/>
      <c r="C73" s="3022"/>
      <c r="D73" s="3022"/>
      <c r="E73" s="113"/>
      <c r="F73" s="1"/>
      <c r="G73" s="85"/>
      <c r="H73" s="37" t="s">
        <v>305</v>
      </c>
      <c r="I73" s="85"/>
      <c r="J73" s="633">
        <f>DI48</f>
        <v>0</v>
      </c>
      <c r="K73" s="633">
        <f>DJ48</f>
        <v>0</v>
      </c>
      <c r="L73" s="633">
        <f>DK48</f>
        <v>0</v>
      </c>
      <c r="M73" s="633">
        <f>DL48</f>
        <v>0</v>
      </c>
      <c r="N73" s="633">
        <f>DM48</f>
        <v>0</v>
      </c>
      <c r="O73" s="633">
        <f t="shared" si="264"/>
        <v>0</v>
      </c>
      <c r="R73" s="3024"/>
      <c r="S73" s="3079"/>
      <c r="T73" s="3079"/>
      <c r="U73" s="3079"/>
      <c r="V73" s="3025"/>
      <c r="W73" s="490"/>
      <c r="Z73" s="490"/>
      <c r="AA73" s="53"/>
      <c r="AB73" s="604"/>
      <c r="AC73" s="604"/>
      <c r="AD73" s="604"/>
      <c r="AE73" s="604"/>
      <c r="AF73" s="604"/>
      <c r="AG73" s="604"/>
      <c r="AH73" s="430"/>
      <c r="AI73" s="97"/>
      <c r="IL73" s="477"/>
      <c r="JA73" s="464"/>
    </row>
    <row r="74" spans="1:261" ht="12" customHeight="1">
      <c r="A74" s="3020"/>
      <c r="B74" s="3020"/>
      <c r="C74" s="3022"/>
      <c r="D74" s="3022"/>
      <c r="E74" s="113"/>
      <c r="F74" s="1"/>
      <c r="G74" s="85"/>
      <c r="H74" s="37" t="s">
        <v>32</v>
      </c>
      <c r="I74" s="85"/>
      <c r="J74" s="634">
        <f>SUM(J72:J73)+DN48</f>
        <v>0</v>
      </c>
      <c r="K74" s="634">
        <f>SUM(K72:K73)+DO48</f>
        <v>0</v>
      </c>
      <c r="L74" s="634">
        <f>SUM(L72:L73)+DP48</f>
        <v>0</v>
      </c>
      <c r="M74" s="634">
        <f>SUM(M72:M73)+DQ48</f>
        <v>0</v>
      </c>
      <c r="N74" s="634">
        <f>SUM(N72:N73)+DR48</f>
        <v>0</v>
      </c>
      <c r="O74" s="634">
        <f t="shared" si="264"/>
        <v>0</v>
      </c>
      <c r="R74" s="3024"/>
      <c r="S74" s="3079"/>
      <c r="T74" s="3079"/>
      <c r="U74" s="3079"/>
      <c r="V74" s="3025"/>
      <c r="W74" s="10"/>
      <c r="Z74" s="490"/>
      <c r="AA74" s="37"/>
      <c r="AB74" s="604"/>
      <c r="AC74" s="604"/>
      <c r="AD74" s="604"/>
      <c r="AE74" s="604"/>
      <c r="AF74" s="604"/>
      <c r="AG74" s="604"/>
      <c r="AH74" s="53"/>
      <c r="AI74" s="97"/>
      <c r="IL74" s="477"/>
      <c r="JA74" s="464"/>
    </row>
    <row r="75" spans="1:261" ht="12" customHeight="1">
      <c r="A75" s="3020"/>
      <c r="B75" s="3020"/>
      <c r="C75" s="3022"/>
      <c r="D75" s="3022"/>
      <c r="E75" s="106" t="s">
        <v>2153</v>
      </c>
      <c r="F75" s="1"/>
      <c r="G75" s="85"/>
      <c r="H75" s="37" t="s">
        <v>1444</v>
      </c>
      <c r="I75" s="85"/>
      <c r="J75" s="632">
        <f>DS48</f>
        <v>0</v>
      </c>
      <c r="K75" s="632">
        <f>DT48</f>
        <v>0</v>
      </c>
      <c r="L75" s="632">
        <f>DU48</f>
        <v>0</v>
      </c>
      <c r="M75" s="632">
        <f>DV48</f>
        <v>0</v>
      </c>
      <c r="N75" s="632">
        <f>DW48</f>
        <v>0</v>
      </c>
      <c r="O75" s="632">
        <f t="shared" si="264"/>
        <v>0</v>
      </c>
      <c r="R75" s="3024"/>
      <c r="S75" s="3079"/>
      <c r="T75" s="3079"/>
      <c r="U75" s="3079"/>
      <c r="V75" s="3025"/>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0"/>
      <c r="B76" s="3020"/>
      <c r="C76" s="3022"/>
      <c r="D76" s="3022"/>
      <c r="E76" s="113"/>
      <c r="F76" s="1"/>
      <c r="G76" s="85"/>
      <c r="H76" s="37" t="s">
        <v>305</v>
      </c>
      <c r="I76" s="85"/>
      <c r="J76" s="633">
        <f>DX48</f>
        <v>0</v>
      </c>
      <c r="K76" s="633">
        <f>DY48</f>
        <v>0</v>
      </c>
      <c r="L76" s="633">
        <f>DZ48</f>
        <v>0</v>
      </c>
      <c r="M76" s="633">
        <f>EA48</f>
        <v>0</v>
      </c>
      <c r="N76" s="633">
        <f>EB48</f>
        <v>0</v>
      </c>
      <c r="O76" s="633">
        <f t="shared" si="264"/>
        <v>0</v>
      </c>
      <c r="R76" s="3024"/>
      <c r="S76" s="3079"/>
      <c r="T76" s="3079"/>
      <c r="U76" s="3079"/>
      <c r="V76" s="3025"/>
      <c r="W76" s="490"/>
      <c r="Z76" s="490"/>
      <c r="AA76" s="53"/>
      <c r="AB76" s="604"/>
      <c r="AC76" s="604"/>
      <c r="AD76" s="604"/>
      <c r="AE76" s="604"/>
      <c r="AF76" s="604"/>
      <c r="AG76" s="604"/>
      <c r="AH76" s="430"/>
      <c r="AI76" s="97"/>
      <c r="IL76" s="477"/>
      <c r="JA76" s="464"/>
    </row>
    <row r="77" spans="1:261" ht="12" customHeight="1">
      <c r="A77" s="3020"/>
      <c r="B77" s="3020"/>
      <c r="C77" s="3022"/>
      <c r="D77" s="3022"/>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4"/>
      <c r="S77" s="3079"/>
      <c r="T77" s="3079"/>
      <c r="U77" s="3079"/>
      <c r="V77" s="3025"/>
      <c r="W77" s="10"/>
      <c r="Z77" s="490"/>
      <c r="AA77" s="37"/>
      <c r="AB77" s="604"/>
      <c r="AC77" s="604"/>
      <c r="AD77" s="604"/>
      <c r="AE77" s="604"/>
      <c r="AF77" s="604"/>
      <c r="AG77" s="604"/>
      <c r="AH77" s="53"/>
      <c r="AI77" s="97"/>
      <c r="IL77" s="477"/>
      <c r="JA77" s="464"/>
    </row>
    <row r="78" spans="1:261" ht="12" customHeight="1">
      <c r="A78" s="3020"/>
      <c r="B78" s="3020"/>
      <c r="C78" s="975"/>
      <c r="D78" s="1"/>
      <c r="E78" s="3023" t="s">
        <v>1431</v>
      </c>
      <c r="F78" s="3023"/>
      <c r="G78" s="85"/>
      <c r="H78" s="37" t="s">
        <v>1444</v>
      </c>
      <c r="I78" s="85"/>
      <c r="J78" s="632">
        <f>EH48</f>
        <v>95</v>
      </c>
      <c r="K78" s="632">
        <f>EI48</f>
        <v>28</v>
      </c>
      <c r="L78" s="632">
        <f>EJ48</f>
        <v>0</v>
      </c>
      <c r="M78" s="632">
        <f>EK48</f>
        <v>0</v>
      </c>
      <c r="N78" s="632">
        <f>EL48</f>
        <v>0</v>
      </c>
      <c r="O78" s="632">
        <f t="shared" si="264"/>
        <v>123</v>
      </c>
      <c r="R78" s="3024"/>
      <c r="S78" s="3079"/>
      <c r="T78" s="3079"/>
      <c r="U78" s="3079"/>
      <c r="V78" s="3025"/>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0"/>
      <c r="B79" s="3020"/>
      <c r="C79" s="975"/>
      <c r="D79" s="1"/>
      <c r="E79" s="3023"/>
      <c r="F79" s="3023"/>
      <c r="G79" s="85"/>
      <c r="H79" s="37" t="s">
        <v>305</v>
      </c>
      <c r="I79" s="85"/>
      <c r="J79" s="633">
        <f>EM48</f>
        <v>0</v>
      </c>
      <c r="K79" s="633">
        <f>EN48</f>
        <v>0</v>
      </c>
      <c r="L79" s="633">
        <f>EO48</f>
        <v>0</v>
      </c>
      <c r="M79" s="633">
        <f>EP48</f>
        <v>0</v>
      </c>
      <c r="N79" s="633">
        <f>EQ48</f>
        <v>0</v>
      </c>
      <c r="O79" s="633">
        <f t="shared" si="264"/>
        <v>0</v>
      </c>
      <c r="R79" s="3024"/>
      <c r="S79" s="3079"/>
      <c r="T79" s="3079"/>
      <c r="U79" s="3079"/>
      <c r="V79" s="3025"/>
      <c r="W79" s="490"/>
      <c r="Z79" s="490"/>
      <c r="AA79" s="53"/>
      <c r="AB79" s="604"/>
      <c r="AC79" s="604"/>
      <c r="AD79" s="604"/>
      <c r="AE79" s="604"/>
      <c r="AF79" s="604"/>
      <c r="AG79" s="604"/>
      <c r="AH79" s="430"/>
      <c r="AI79" s="97"/>
      <c r="IL79" s="477"/>
      <c r="JA79" s="464"/>
    </row>
    <row r="80" spans="1:261" ht="12" customHeight="1">
      <c r="A80" s="3020"/>
      <c r="B80" s="3020"/>
      <c r="C80" s="975"/>
      <c r="D80" s="1"/>
      <c r="E80" s="113"/>
      <c r="F80" s="1"/>
      <c r="G80" s="85"/>
      <c r="H80" s="37" t="s">
        <v>32</v>
      </c>
      <c r="I80" s="85"/>
      <c r="J80" s="634">
        <f>SUM(J78:J79)+ER48</f>
        <v>95</v>
      </c>
      <c r="K80" s="634">
        <f>SUM(K78:K79)+ES48</f>
        <v>28</v>
      </c>
      <c r="L80" s="634">
        <f>SUM(L78:L79)+ET48</f>
        <v>0</v>
      </c>
      <c r="M80" s="634">
        <f>SUM(M78:M79)+EU48</f>
        <v>0</v>
      </c>
      <c r="N80" s="634">
        <f>SUM(N78:N79)+EV48</f>
        <v>0</v>
      </c>
      <c r="O80" s="634">
        <f t="shared" si="264"/>
        <v>123</v>
      </c>
      <c r="R80" s="3024"/>
      <c r="S80" s="3079"/>
      <c r="T80" s="3079"/>
      <c r="U80" s="3079"/>
      <c r="V80" s="3025"/>
      <c r="W80" s="10"/>
      <c r="Z80" s="490"/>
      <c r="AA80" s="37"/>
      <c r="AB80" s="604"/>
      <c r="AC80" s="604"/>
      <c r="AD80" s="604"/>
      <c r="AE80" s="604"/>
      <c r="AF80" s="604"/>
      <c r="AG80" s="604"/>
      <c r="AH80" s="53"/>
      <c r="AI80" s="97"/>
      <c r="IL80" s="477"/>
      <c r="JA80" s="464"/>
    </row>
    <row r="81" spans="1:261" ht="12" customHeight="1">
      <c r="A81" s="3020"/>
      <c r="B81" s="3020"/>
      <c r="C81" s="975"/>
      <c r="D81" s="1"/>
      <c r="E81" s="113" t="s">
        <v>367</v>
      </c>
      <c r="F81" s="1"/>
      <c r="G81" s="179"/>
      <c r="H81" s="85"/>
      <c r="I81" s="85"/>
      <c r="J81" s="2323"/>
      <c r="K81" s="2323"/>
      <c r="L81" s="2323"/>
      <c r="M81" s="2323"/>
      <c r="N81" s="2323"/>
      <c r="O81" s="632">
        <f t="shared" si="264"/>
        <v>0</v>
      </c>
      <c r="R81" s="3024"/>
      <c r="S81" s="3079"/>
      <c r="T81" s="3079"/>
      <c r="U81" s="3079"/>
      <c r="V81" s="3025"/>
      <c r="W81" s="490"/>
      <c r="Z81" s="490"/>
      <c r="AA81" s="53"/>
      <c r="AB81" s="604"/>
      <c r="AC81" s="604"/>
      <c r="AD81" s="604"/>
      <c r="AE81" s="604"/>
      <c r="AF81" s="604"/>
      <c r="AG81" s="604"/>
      <c r="AH81" s="430"/>
      <c r="AI81" s="97"/>
      <c r="IL81" s="477"/>
      <c r="JA81" s="464"/>
    </row>
    <row r="82" spans="1:261" ht="12" customHeight="1">
      <c r="A82" s="3026" t="str">
        <f>IF(AND('Part IV-A-Uses of Funds'!$T$165="Yes",'Part IX A-Scoring Criteria'!$O$414&gt;0,O82&lt;1),"SHOW HISTORIC UNITS HERE &gt;&gt;&gt;&gt;","")</f>
        <v/>
      </c>
      <c r="B82" s="3026"/>
      <c r="C82" s="3026"/>
      <c r="D82" s="3026"/>
      <c r="E82" s="512" t="s">
        <v>3418</v>
      </c>
      <c r="F82" s="1"/>
      <c r="G82" s="179"/>
      <c r="H82" s="85"/>
      <c r="I82" s="85"/>
      <c r="J82" s="2324"/>
      <c r="K82" s="2324"/>
      <c r="L82" s="2324"/>
      <c r="M82" s="2324"/>
      <c r="N82" s="2324"/>
      <c r="O82" s="633">
        <f t="shared" si="264"/>
        <v>0</v>
      </c>
      <c r="R82" s="3024"/>
      <c r="S82" s="3079"/>
      <c r="T82" s="3079"/>
      <c r="U82" s="3079"/>
      <c r="V82" s="3025"/>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4"/>
      <c r="S83" s="3079"/>
      <c r="T83" s="3079"/>
      <c r="U83" s="3079"/>
      <c r="V83" s="3025"/>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75"/>
      <c r="S84" s="3078"/>
      <c r="T84" s="3078"/>
      <c r="U84" s="3078"/>
      <c r="V84" s="307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6" t="s">
        <v>4133</v>
      </c>
      <c r="D86" s="3036"/>
      <c r="E86" s="1263" t="s">
        <v>40</v>
      </c>
      <c r="F86" s="1059"/>
      <c r="G86" s="1264"/>
      <c r="H86" s="1265"/>
      <c r="I86" s="1266"/>
      <c r="J86" s="645">
        <f t="shared" ref="J86:O86" si="265">SUM(J87:J94)</f>
        <v>95</v>
      </c>
      <c r="K86" s="645">
        <f t="shared" si="265"/>
        <v>28</v>
      </c>
      <c r="L86" s="645">
        <f t="shared" si="265"/>
        <v>0</v>
      </c>
      <c r="M86" s="645">
        <f t="shared" si="265"/>
        <v>0</v>
      </c>
      <c r="N86" s="645">
        <f t="shared" si="265"/>
        <v>0</v>
      </c>
      <c r="O86" s="645">
        <f t="shared" si="265"/>
        <v>123</v>
      </c>
      <c r="R86" s="3031"/>
      <c r="S86" s="3080"/>
      <c r="T86" s="3080"/>
      <c r="U86" s="3080"/>
      <c r="V86" s="3032"/>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37"/>
      <c r="D87" s="3037"/>
      <c r="E87" s="106"/>
      <c r="F87" s="5"/>
      <c r="G87" s="157"/>
      <c r="H87" s="956" t="s">
        <v>2621</v>
      </c>
      <c r="I87" s="1267"/>
      <c r="J87" s="1022">
        <f>GP48</f>
        <v>0</v>
      </c>
      <c r="K87" s="1022">
        <f>GQ48</f>
        <v>0</v>
      </c>
      <c r="L87" s="1022">
        <f>GR48</f>
        <v>0</v>
      </c>
      <c r="M87" s="1022">
        <f>GS48</f>
        <v>0</v>
      </c>
      <c r="N87" s="1022">
        <f>GT48</f>
        <v>0</v>
      </c>
      <c r="O87" s="1022">
        <f t="shared" ref="O87:O102" si="266">SUM(J87:N87)</f>
        <v>0</v>
      </c>
      <c r="R87" s="3024"/>
      <c r="S87" s="3079"/>
      <c r="T87" s="3079"/>
      <c r="U87" s="3079"/>
      <c r="V87" s="3025"/>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37"/>
      <c r="D88" s="3037"/>
      <c r="E88" s="106"/>
      <c r="F88" s="5"/>
      <c r="G88" s="157"/>
      <c r="H88" s="98" t="s">
        <v>3379</v>
      </c>
      <c r="I88" s="1267"/>
      <c r="J88" s="636">
        <f>GU48</f>
        <v>0</v>
      </c>
      <c r="K88" s="636">
        <f>GV48</f>
        <v>0</v>
      </c>
      <c r="L88" s="636">
        <f>GW48</f>
        <v>0</v>
      </c>
      <c r="M88" s="636">
        <f>GX48</f>
        <v>0</v>
      </c>
      <c r="N88" s="636">
        <f>GY48</f>
        <v>0</v>
      </c>
      <c r="O88" s="636">
        <f t="shared" si="266"/>
        <v>0</v>
      </c>
      <c r="R88" s="3024"/>
      <c r="S88" s="3079"/>
      <c r="T88" s="3079"/>
      <c r="U88" s="3079"/>
      <c r="V88" s="3025"/>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37"/>
      <c r="D89" s="3037"/>
      <c r="E89" s="106"/>
      <c r="F89" s="5"/>
      <c r="G89" s="157"/>
      <c r="H89" s="956" t="s">
        <v>2622</v>
      </c>
      <c r="I89" s="1267"/>
      <c r="J89" s="1022">
        <f>GZ48</f>
        <v>0</v>
      </c>
      <c r="K89" s="1022">
        <f>HA48</f>
        <v>0</v>
      </c>
      <c r="L89" s="1022">
        <f>HB48</f>
        <v>0</v>
      </c>
      <c r="M89" s="1022">
        <f>HC48</f>
        <v>0</v>
      </c>
      <c r="N89" s="1022">
        <f>HD48</f>
        <v>0</v>
      </c>
      <c r="O89" s="637">
        <f t="shared" si="266"/>
        <v>0</v>
      </c>
      <c r="R89" s="3024"/>
      <c r="S89" s="3079"/>
      <c r="T89" s="3079"/>
      <c r="U89" s="3079"/>
      <c r="V89" s="3025"/>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37"/>
      <c r="D90" s="3037"/>
      <c r="E90" s="106"/>
      <c r="F90" s="5"/>
      <c r="G90" s="157"/>
      <c r="H90" s="98" t="s">
        <v>3379</v>
      </c>
      <c r="I90" s="1267"/>
      <c r="J90" s="636">
        <f>HE48</f>
        <v>0</v>
      </c>
      <c r="K90" s="636">
        <f>HF48</f>
        <v>0</v>
      </c>
      <c r="L90" s="636">
        <f>HG48</f>
        <v>0</v>
      </c>
      <c r="M90" s="636">
        <f>HH48</f>
        <v>0</v>
      </c>
      <c r="N90" s="636">
        <f>HI48</f>
        <v>0</v>
      </c>
      <c r="O90" s="636">
        <f t="shared" si="266"/>
        <v>0</v>
      </c>
      <c r="R90" s="3024"/>
      <c r="S90" s="3079"/>
      <c r="T90" s="3079"/>
      <c r="U90" s="3079"/>
      <c r="V90" s="3025"/>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37"/>
      <c r="D91" s="3037"/>
      <c r="E91" s="106"/>
      <c r="F91" s="5"/>
      <c r="G91" s="157"/>
      <c r="H91" s="956" t="s">
        <v>2624</v>
      </c>
      <c r="I91" s="1267"/>
      <c r="J91" s="1022">
        <f>HJ48</f>
        <v>0</v>
      </c>
      <c r="K91" s="1022">
        <f>HK48</f>
        <v>0</v>
      </c>
      <c r="L91" s="1022">
        <f>HL48</f>
        <v>0</v>
      </c>
      <c r="M91" s="1022">
        <f>HM48</f>
        <v>0</v>
      </c>
      <c r="N91" s="1022">
        <f>HN48</f>
        <v>0</v>
      </c>
      <c r="O91" s="637">
        <f t="shared" si="266"/>
        <v>0</v>
      </c>
      <c r="R91" s="3024"/>
      <c r="S91" s="3079"/>
      <c r="T91" s="3079"/>
      <c r="U91" s="3079"/>
      <c r="V91" s="3025"/>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37"/>
      <c r="D92" s="3037"/>
      <c r="E92" s="106"/>
      <c r="F92" s="5"/>
      <c r="G92" s="157"/>
      <c r="H92" s="98" t="s">
        <v>3379</v>
      </c>
      <c r="I92" s="1267"/>
      <c r="J92" s="636">
        <f>HO48</f>
        <v>0</v>
      </c>
      <c r="K92" s="636">
        <f>HP48</f>
        <v>0</v>
      </c>
      <c r="L92" s="636">
        <f>HQ48</f>
        <v>0</v>
      </c>
      <c r="M92" s="636">
        <f>HR48</f>
        <v>0</v>
      </c>
      <c r="N92" s="636">
        <f>HS48</f>
        <v>0</v>
      </c>
      <c r="O92" s="636">
        <f t="shared" si="266"/>
        <v>0</v>
      </c>
      <c r="R92" s="3024"/>
      <c r="S92" s="3079"/>
      <c r="T92" s="3079"/>
      <c r="U92" s="3079"/>
      <c r="V92" s="3025"/>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37"/>
      <c r="D93" s="3037"/>
      <c r="E93" s="106"/>
      <c r="F93" s="1"/>
      <c r="G93" s="85"/>
      <c r="H93" s="41" t="s">
        <v>2623</v>
      </c>
      <c r="I93" s="85"/>
      <c r="J93" s="1022">
        <f>HT48</f>
        <v>95</v>
      </c>
      <c r="K93" s="1022">
        <f>HU48</f>
        <v>28</v>
      </c>
      <c r="L93" s="1022">
        <f>HV48</f>
        <v>0</v>
      </c>
      <c r="M93" s="1022">
        <f>HW48</f>
        <v>0</v>
      </c>
      <c r="N93" s="1022">
        <f>HX48</f>
        <v>0</v>
      </c>
      <c r="O93" s="637">
        <f t="shared" si="266"/>
        <v>123</v>
      </c>
      <c r="R93" s="3024"/>
      <c r="S93" s="3079"/>
      <c r="T93" s="3079"/>
      <c r="U93" s="3079"/>
      <c r="V93" s="3025"/>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37"/>
      <c r="D94" s="3037"/>
      <c r="E94" s="106"/>
      <c r="F94" s="1"/>
      <c r="G94" s="85"/>
      <c r="H94" s="949" t="s">
        <v>3379</v>
      </c>
      <c r="I94" s="85"/>
      <c r="J94" s="636">
        <f>HY48</f>
        <v>0</v>
      </c>
      <c r="K94" s="636">
        <f>HZ48</f>
        <v>0</v>
      </c>
      <c r="L94" s="636">
        <f>IA48</f>
        <v>0</v>
      </c>
      <c r="M94" s="636">
        <f>IB48</f>
        <v>0</v>
      </c>
      <c r="N94" s="636">
        <f>IC48</f>
        <v>0</v>
      </c>
      <c r="O94" s="636">
        <f t="shared" si="266"/>
        <v>0</v>
      </c>
      <c r="R94" s="3024"/>
      <c r="S94" s="3079"/>
      <c r="T94" s="3079"/>
      <c r="U94" s="3079"/>
      <c r="V94" s="3025"/>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4"/>
      <c r="S95" s="3079"/>
      <c r="T95" s="3079"/>
      <c r="U95" s="3079"/>
      <c r="V95" s="3025"/>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024"/>
      <c r="S96" s="3079"/>
      <c r="T96" s="3079"/>
      <c r="U96" s="3079"/>
      <c r="V96" s="3025"/>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4"/>
      <c r="S97" s="3079"/>
      <c r="T97" s="3079"/>
      <c r="U97" s="3079"/>
      <c r="V97" s="3025"/>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024"/>
      <c r="S98" s="3079"/>
      <c r="T98" s="3079"/>
      <c r="U98" s="3079"/>
      <c r="V98" s="3025"/>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24"/>
      <c r="S99" s="3079"/>
      <c r="T99" s="3079"/>
      <c r="U99" s="3079"/>
      <c r="V99" s="3025"/>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024"/>
      <c r="S100" s="3079"/>
      <c r="T100" s="3079"/>
      <c r="U100" s="3079"/>
      <c r="V100" s="3025"/>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4"/>
      <c r="S101" s="3079"/>
      <c r="T101" s="3079"/>
      <c r="U101" s="3079"/>
      <c r="V101" s="3025"/>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075"/>
      <c r="S102" s="3078"/>
      <c r="T102" s="3078"/>
      <c r="U102" s="3078"/>
      <c r="V102" s="307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36" t="s">
        <v>4132</v>
      </c>
      <c r="D104" s="3036"/>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31"/>
      <c r="S104" s="3080"/>
      <c r="T104" s="3080"/>
      <c r="U104" s="3080"/>
      <c r="V104" s="3032"/>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37"/>
      <c r="D105" s="3037"/>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024"/>
      <c r="S105" s="3079"/>
      <c r="T105" s="3079"/>
      <c r="U105" s="3079"/>
      <c r="V105" s="3025"/>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37"/>
      <c r="D106" s="3037"/>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24"/>
      <c r="S106" s="3079"/>
      <c r="T106" s="3079"/>
      <c r="U106" s="3079"/>
      <c r="V106" s="3025"/>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37"/>
      <c r="D107" s="3037"/>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024"/>
      <c r="S107" s="3079"/>
      <c r="T107" s="3079"/>
      <c r="U107" s="3079"/>
      <c r="V107" s="3025"/>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37"/>
      <c r="D108" s="3037"/>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24"/>
      <c r="S108" s="3079"/>
      <c r="T108" s="3079"/>
      <c r="U108" s="3079"/>
      <c r="V108" s="3025"/>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37"/>
      <c r="D109" s="3037"/>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024"/>
      <c r="S109" s="3079"/>
      <c r="T109" s="3079"/>
      <c r="U109" s="3079"/>
      <c r="V109" s="3025"/>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37"/>
      <c r="D110" s="3037"/>
      <c r="E110" s="106" t="s">
        <v>3377</v>
      </c>
      <c r="F110" s="517"/>
      <c r="G110" s="157"/>
      <c r="H110" s="956"/>
      <c r="I110" s="1267"/>
      <c r="J110" s="1025">
        <f>J89+J93</f>
        <v>95</v>
      </c>
      <c r="K110" s="1025">
        <f t="shared" ref="K110:N111" si="271">K89+K93</f>
        <v>28</v>
      </c>
      <c r="L110" s="1025">
        <f t="shared" si="271"/>
        <v>0</v>
      </c>
      <c r="M110" s="1025">
        <f t="shared" si="271"/>
        <v>0</v>
      </c>
      <c r="N110" s="1025">
        <f t="shared" si="271"/>
        <v>0</v>
      </c>
      <c r="O110" s="1025">
        <f t="shared" si="268"/>
        <v>123</v>
      </c>
      <c r="R110" s="3024"/>
      <c r="S110" s="3079"/>
      <c r="T110" s="3079"/>
      <c r="U110" s="3079"/>
      <c r="V110" s="3025"/>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075"/>
      <c r="S111" s="3078"/>
      <c r="T111" s="3078"/>
      <c r="U111" s="3078"/>
      <c r="V111" s="307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3081" t="str">
        <f>B112</f>
        <v>Unit Square Footage:</v>
      </c>
      <c r="S112" s="3081"/>
      <c r="T112" s="3081"/>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40080</v>
      </c>
      <c r="K113" s="1027">
        <f>CA48</f>
        <v>18040</v>
      </c>
      <c r="L113" s="1027">
        <f>CB48</f>
        <v>0</v>
      </c>
      <c r="M113" s="1027">
        <f>CC48</f>
        <v>0</v>
      </c>
      <c r="N113" s="1027">
        <f>CD48</f>
        <v>0</v>
      </c>
      <c r="O113" s="1027">
        <f t="shared" ref="O113:O119" si="272">SUM(J113:N113)</f>
        <v>58120</v>
      </c>
      <c r="R113" s="3031"/>
      <c r="S113" s="3080"/>
      <c r="T113" s="3080"/>
      <c r="U113" s="3080"/>
      <c r="V113" s="3032"/>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10040</v>
      </c>
      <c r="K114" s="1028">
        <f>CF48</f>
        <v>4920</v>
      </c>
      <c r="L114" s="1028">
        <f>CG48</f>
        <v>0</v>
      </c>
      <c r="M114" s="1028">
        <f>CH48</f>
        <v>0</v>
      </c>
      <c r="N114" s="1028">
        <f>CI48</f>
        <v>0</v>
      </c>
      <c r="O114" s="1028">
        <f t="shared" si="272"/>
        <v>14960</v>
      </c>
      <c r="R114" s="3024"/>
      <c r="S114" s="3079"/>
      <c r="T114" s="3079"/>
      <c r="U114" s="3079"/>
      <c r="V114" s="3025"/>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50120</v>
      </c>
      <c r="K115" s="641">
        <f>SUM(K113:K114)</f>
        <v>22960</v>
      </c>
      <c r="L115" s="641">
        <f>SUM(L113:L114)</f>
        <v>0</v>
      </c>
      <c r="M115" s="641">
        <f>SUM(M113:M114)</f>
        <v>0</v>
      </c>
      <c r="N115" s="641">
        <f>SUM(N113:N114)</f>
        <v>0</v>
      </c>
      <c r="O115" s="641">
        <f t="shared" si="272"/>
        <v>73080</v>
      </c>
      <c r="R115" s="3024"/>
      <c r="S115" s="3079"/>
      <c r="T115" s="3079"/>
      <c r="U115" s="3079"/>
      <c r="V115" s="3025"/>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4"/>
      <c r="S116" s="3079"/>
      <c r="T116" s="3079"/>
      <c r="U116" s="3079"/>
      <c r="V116" s="3025"/>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50120</v>
      </c>
      <c r="K117" s="641">
        <f>SUM(K115:K116)</f>
        <v>22960</v>
      </c>
      <c r="L117" s="641">
        <f>SUM(L115:L116)</f>
        <v>0</v>
      </c>
      <c r="M117" s="641">
        <f>SUM(M115:M116)</f>
        <v>0</v>
      </c>
      <c r="N117" s="641">
        <f>SUM(N115:N116)</f>
        <v>0</v>
      </c>
      <c r="O117" s="641">
        <f t="shared" si="272"/>
        <v>73080</v>
      </c>
      <c r="R117" s="3024"/>
      <c r="S117" s="3079"/>
      <c r="T117" s="3079"/>
      <c r="U117" s="3079"/>
      <c r="V117" s="3025"/>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024"/>
      <c r="S118" s="3079"/>
      <c r="T118" s="3079"/>
      <c r="U118" s="3079"/>
      <c r="V118" s="3025"/>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50120</v>
      </c>
      <c r="K119" s="643">
        <f>SUM(K117:K118)</f>
        <v>22960</v>
      </c>
      <c r="L119" s="643">
        <f>SUM(L117:L118)</f>
        <v>0</v>
      </c>
      <c r="M119" s="643">
        <f>SUM(M117:M118)</f>
        <v>0</v>
      </c>
      <c r="N119" s="643">
        <f>SUM(N117:N118)</f>
        <v>0</v>
      </c>
      <c r="O119" s="643">
        <f t="shared" si="272"/>
        <v>73080</v>
      </c>
      <c r="R119" s="3075"/>
      <c r="S119" s="3078"/>
      <c r="T119" s="3078"/>
      <c r="U119" s="3078"/>
      <c r="V119" s="307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38">
        <f>'Part VII-Pro Forma'!B9*L49</f>
        <v>17035.235999999997</v>
      </c>
      <c r="I122" s="3039"/>
      <c r="J122" s="92"/>
      <c r="K122" s="508" t="s">
        <v>2760</v>
      </c>
      <c r="L122" s="92"/>
      <c r="M122" s="92"/>
      <c r="N122" s="92"/>
      <c r="O122" s="981">
        <f>H122/L49</f>
        <v>1.9999999999999997E-2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5"/>
      <c r="H126" s="2325"/>
      <c r="I126" s="2325"/>
      <c r="J126" s="2325"/>
      <c r="K126" s="2326"/>
      <c r="L126" s="2325"/>
      <c r="M126" s="2325"/>
      <c r="N126" s="2325"/>
      <c r="O126" s="2325"/>
      <c r="P126" s="2325"/>
      <c r="Q126" s="926"/>
      <c r="R126" s="3031"/>
      <c r="S126" s="3080"/>
      <c r="T126" s="3080"/>
      <c r="U126" s="3080"/>
      <c r="V126" s="3032"/>
    </row>
    <row r="127" spans="1:263" ht="11.25" customHeight="1">
      <c r="B127" s="113" t="s">
        <v>749</v>
      </c>
      <c r="C127" s="3033"/>
      <c r="D127" s="3034"/>
      <c r="E127" s="3034"/>
      <c r="F127" s="3035"/>
      <c r="G127" s="2327"/>
      <c r="H127" s="2327"/>
      <c r="I127" s="2327"/>
      <c r="J127" s="2327"/>
      <c r="K127" s="2328"/>
      <c r="L127" s="2327"/>
      <c r="M127" s="2327"/>
      <c r="N127" s="2327"/>
      <c r="O127" s="2327"/>
      <c r="P127" s="2327"/>
      <c r="Q127" s="926"/>
      <c r="R127" s="3024"/>
      <c r="S127" s="3079"/>
      <c r="T127" s="3079"/>
      <c r="U127" s="3079"/>
      <c r="V127" s="3025"/>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75"/>
      <c r="S128" s="3078"/>
      <c r="T128" s="3078"/>
      <c r="U128" s="3078"/>
      <c r="V128" s="3076"/>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5"/>
      <c r="H130" s="2325"/>
      <c r="I130" s="2325"/>
      <c r="J130" s="2325"/>
      <c r="K130" s="2326"/>
      <c r="L130" s="2325"/>
      <c r="M130" s="2325"/>
      <c r="N130" s="2325"/>
      <c r="O130" s="2325"/>
      <c r="P130" s="2325"/>
      <c r="Q130" s="926"/>
      <c r="R130" s="3031"/>
      <c r="S130" s="3080"/>
      <c r="T130" s="3080"/>
      <c r="U130" s="3080"/>
      <c r="V130" s="3032"/>
    </row>
    <row r="131" spans="2:22" ht="11.25" customHeight="1">
      <c r="B131" s="113" t="s">
        <v>749</v>
      </c>
      <c r="C131" s="3033"/>
      <c r="D131" s="3034"/>
      <c r="E131" s="3034"/>
      <c r="F131" s="3035"/>
      <c r="G131" s="2327"/>
      <c r="H131" s="2327"/>
      <c r="I131" s="2327"/>
      <c r="J131" s="2327"/>
      <c r="K131" s="2328"/>
      <c r="L131" s="2327"/>
      <c r="M131" s="2327"/>
      <c r="N131" s="2327"/>
      <c r="O131" s="2327"/>
      <c r="P131" s="2327"/>
      <c r="Q131" s="926"/>
      <c r="R131" s="3024"/>
      <c r="S131" s="3079"/>
      <c r="T131" s="3079"/>
      <c r="U131" s="3079"/>
      <c r="V131" s="3025"/>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75"/>
      <c r="S132" s="3078"/>
      <c r="T132" s="3078"/>
      <c r="U132" s="3078"/>
      <c r="V132" s="307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25"/>
      <c r="H135" s="2325"/>
      <c r="I135" s="2325"/>
      <c r="J135" s="2325"/>
      <c r="K135" s="2326"/>
      <c r="L135" s="2325"/>
      <c r="M135" s="2325"/>
      <c r="N135" s="2325"/>
      <c r="O135" s="2325"/>
      <c r="P135" s="2325"/>
      <c r="Q135" s="926"/>
      <c r="R135" s="3031"/>
      <c r="S135" s="3080"/>
      <c r="T135" s="3080"/>
      <c r="U135" s="3080"/>
      <c r="V135" s="3032"/>
    </row>
    <row r="136" spans="2:22" ht="11.25" customHeight="1">
      <c r="B136" s="113" t="s">
        <v>749</v>
      </c>
      <c r="C136" s="3033"/>
      <c r="D136" s="3034"/>
      <c r="E136" s="3034"/>
      <c r="F136" s="3035"/>
      <c r="G136" s="2327"/>
      <c r="H136" s="2327"/>
      <c r="I136" s="2327"/>
      <c r="J136" s="2327"/>
      <c r="K136" s="2328"/>
      <c r="L136" s="2327"/>
      <c r="M136" s="2327"/>
      <c r="N136" s="2327"/>
      <c r="O136" s="2327"/>
      <c r="P136" s="2327"/>
      <c r="Q136" s="926"/>
      <c r="R136" s="3024"/>
      <c r="S136" s="3079"/>
      <c r="T136" s="3079"/>
      <c r="U136" s="3079"/>
      <c r="V136" s="3025"/>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75"/>
      <c r="S137" s="3078"/>
      <c r="T137" s="3078"/>
      <c r="U137" s="3078"/>
      <c r="V137" s="3076"/>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5"/>
      <c r="H139" s="2325"/>
      <c r="I139" s="2325"/>
      <c r="J139" s="2325"/>
      <c r="K139" s="2326"/>
      <c r="L139" s="2325"/>
      <c r="M139" s="2325"/>
      <c r="N139" s="2325"/>
      <c r="O139" s="2325"/>
      <c r="P139" s="2325"/>
      <c r="Q139" s="926"/>
      <c r="R139" s="3031"/>
      <c r="S139" s="3080"/>
      <c r="T139" s="3080"/>
      <c r="U139" s="3080"/>
      <c r="V139" s="3032"/>
    </row>
    <row r="140" spans="2:22" ht="11.25" customHeight="1">
      <c r="B140" s="113" t="s">
        <v>749</v>
      </c>
      <c r="C140" s="3033"/>
      <c r="D140" s="3034"/>
      <c r="E140" s="3034"/>
      <c r="F140" s="3035"/>
      <c r="G140" s="2327"/>
      <c r="H140" s="2327"/>
      <c r="I140" s="2327"/>
      <c r="J140" s="2327"/>
      <c r="K140" s="2328"/>
      <c r="L140" s="2327"/>
      <c r="M140" s="2327"/>
      <c r="N140" s="2327"/>
      <c r="O140" s="2327"/>
      <c r="P140" s="2327"/>
      <c r="Q140" s="926"/>
      <c r="R140" s="3024"/>
      <c r="S140" s="3079"/>
      <c r="T140" s="3079"/>
      <c r="U140" s="3079"/>
      <c r="V140" s="3025"/>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75"/>
      <c r="S141" s="3078"/>
      <c r="T141" s="3078"/>
      <c r="U141" s="3078"/>
      <c r="V141" s="307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25"/>
      <c r="H144" s="2325"/>
      <c r="I144" s="2325"/>
      <c r="J144" s="2325"/>
      <c r="K144" s="2326"/>
      <c r="L144" s="2325"/>
      <c r="M144" s="2325"/>
      <c r="N144" s="2325"/>
      <c r="O144" s="2325"/>
      <c r="P144" s="2325"/>
      <c r="Q144" s="926"/>
      <c r="R144" s="3031"/>
      <c r="S144" s="3080"/>
      <c r="T144" s="3080"/>
      <c r="U144" s="3080"/>
      <c r="V144" s="3032"/>
    </row>
    <row r="145" spans="2:22" ht="11.25" customHeight="1">
      <c r="B145" s="113" t="s">
        <v>749</v>
      </c>
      <c r="C145" s="3033"/>
      <c r="D145" s="3034"/>
      <c r="E145" s="3034"/>
      <c r="F145" s="3035"/>
      <c r="G145" s="2327"/>
      <c r="H145" s="2327"/>
      <c r="I145" s="2327"/>
      <c r="J145" s="2327"/>
      <c r="K145" s="2328"/>
      <c r="L145" s="2327"/>
      <c r="M145" s="2327"/>
      <c r="N145" s="2327"/>
      <c r="O145" s="2327"/>
      <c r="P145" s="2327"/>
      <c r="Q145" s="926"/>
      <c r="R145" s="3024"/>
      <c r="S145" s="3079"/>
      <c r="T145" s="3079"/>
      <c r="U145" s="3079"/>
      <c r="V145" s="3025"/>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75"/>
      <c r="S146" s="3078"/>
      <c r="T146" s="3078"/>
      <c r="U146" s="3078"/>
      <c r="V146" s="3076"/>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5"/>
      <c r="H148" s="2325"/>
      <c r="I148" s="2325"/>
      <c r="J148" s="2325"/>
      <c r="K148" s="2326"/>
      <c r="L148" s="2325"/>
      <c r="M148" s="2325"/>
      <c r="N148" s="2325"/>
      <c r="O148" s="2325"/>
      <c r="P148" s="2325"/>
      <c r="Q148" s="926"/>
      <c r="R148" s="3031"/>
      <c r="S148" s="3080"/>
      <c r="T148" s="3080"/>
      <c r="U148" s="3080"/>
      <c r="V148" s="3032"/>
    </row>
    <row r="149" spans="2:22" ht="11.25" customHeight="1">
      <c r="B149" s="113" t="s">
        <v>749</v>
      </c>
      <c r="C149" s="3033"/>
      <c r="D149" s="3034"/>
      <c r="E149" s="3034"/>
      <c r="F149" s="3035"/>
      <c r="G149" s="2327"/>
      <c r="H149" s="2327"/>
      <c r="I149" s="2327"/>
      <c r="J149" s="2327"/>
      <c r="K149" s="2328"/>
      <c r="L149" s="2327"/>
      <c r="M149" s="2327"/>
      <c r="N149" s="2327"/>
      <c r="O149" s="2327"/>
      <c r="P149" s="2327"/>
      <c r="Q149" s="926"/>
      <c r="R149" s="3024"/>
      <c r="S149" s="3079"/>
      <c r="T149" s="3079"/>
      <c r="U149" s="3079"/>
      <c r="V149" s="3025"/>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75"/>
      <c r="S150" s="3078"/>
      <c r="T150" s="3078"/>
      <c r="U150" s="3078"/>
      <c r="V150" s="307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25"/>
      <c r="H153" s="2325"/>
      <c r="I153" s="2325"/>
      <c r="J153" s="2325"/>
      <c r="K153" s="2326"/>
      <c r="L153" s="92"/>
      <c r="M153" s="92"/>
      <c r="N153" s="92"/>
      <c r="O153" s="92"/>
      <c r="P153" s="92"/>
      <c r="Q153" s="8"/>
      <c r="R153" s="3031"/>
      <c r="S153" s="3080"/>
      <c r="T153" s="3080"/>
      <c r="U153" s="3080"/>
      <c r="V153" s="3032"/>
    </row>
    <row r="154" spans="2:22" ht="11.25" customHeight="1">
      <c r="B154" s="113" t="s">
        <v>749</v>
      </c>
      <c r="C154" s="3033"/>
      <c r="D154" s="3034"/>
      <c r="E154" s="3034"/>
      <c r="F154" s="3035"/>
      <c r="G154" s="2327"/>
      <c r="H154" s="2327"/>
      <c r="I154" s="2327"/>
      <c r="J154" s="2327"/>
      <c r="K154" s="2328"/>
      <c r="L154" s="92"/>
      <c r="M154" s="92"/>
      <c r="N154" s="92"/>
      <c r="O154" s="92"/>
      <c r="P154" s="92"/>
      <c r="Q154" s="8"/>
      <c r="R154" s="3024"/>
      <c r="S154" s="3079"/>
      <c r="T154" s="3079"/>
      <c r="U154" s="3079"/>
      <c r="V154" s="3025"/>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75"/>
      <c r="S155" s="3078"/>
      <c r="T155" s="3078"/>
      <c r="U155" s="3078"/>
      <c r="V155" s="3076"/>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5"/>
      <c r="H157" s="2325"/>
      <c r="I157" s="2325"/>
      <c r="J157" s="2325"/>
      <c r="K157" s="2326"/>
      <c r="L157" s="92"/>
      <c r="M157" s="92"/>
      <c r="N157" s="92"/>
      <c r="O157" s="92"/>
      <c r="P157" s="92"/>
      <c r="Q157" s="8"/>
      <c r="R157" s="3031"/>
      <c r="S157" s="3080"/>
      <c r="T157" s="3080"/>
      <c r="U157" s="3080"/>
      <c r="V157" s="3032"/>
    </row>
    <row r="158" spans="2:22" ht="11.25" customHeight="1">
      <c r="B158" s="113" t="s">
        <v>749</v>
      </c>
      <c r="C158" s="3033"/>
      <c r="D158" s="3034"/>
      <c r="E158" s="3034"/>
      <c r="F158" s="3035"/>
      <c r="G158" s="2327"/>
      <c r="H158" s="2327"/>
      <c r="I158" s="2327"/>
      <c r="J158" s="2327"/>
      <c r="K158" s="2328"/>
      <c r="L158" s="92"/>
      <c r="M158" s="92"/>
      <c r="N158" s="92"/>
      <c r="O158" s="92"/>
      <c r="P158" s="92"/>
      <c r="Q158" s="8"/>
      <c r="R158" s="3024"/>
      <c r="S158" s="3079"/>
      <c r="T158" s="3079"/>
      <c r="U158" s="3079"/>
      <c r="V158" s="3025"/>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75"/>
      <c r="S159" s="3078"/>
      <c r="T159" s="3078"/>
      <c r="U159" s="3078"/>
      <c r="V159" s="307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1"/>
      <c r="S163" s="3080"/>
      <c r="T163" s="3080"/>
      <c r="U163" s="3080"/>
      <c r="V163" s="3032"/>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040">
        <v>90000</v>
      </c>
      <c r="G164" s="3041"/>
      <c r="H164" s="1"/>
      <c r="I164" s="1" t="s">
        <v>1390</v>
      </c>
      <c r="J164" s="1"/>
      <c r="K164" s="3042">
        <v>12000</v>
      </c>
      <c r="L164" s="3043"/>
      <c r="M164" s="1"/>
      <c r="N164" s="1" t="s">
        <v>938</v>
      </c>
      <c r="O164" s="1"/>
      <c r="P164" s="2329">
        <v>58052</v>
      </c>
      <c r="Q164" s="926"/>
      <c r="R164" s="3024"/>
      <c r="S164" s="3079"/>
      <c r="T164" s="3079"/>
      <c r="U164" s="3079"/>
      <c r="V164" s="3025"/>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0">
        <v>60000</v>
      </c>
      <c r="G165" s="3041"/>
      <c r="H165" s="1"/>
      <c r="I165" s="1" t="s">
        <v>1391</v>
      </c>
      <c r="J165" s="1"/>
      <c r="K165" s="3042"/>
      <c r="L165" s="3043"/>
      <c r="M165" s="1"/>
      <c r="N165" s="1" t="s">
        <v>148</v>
      </c>
      <c r="O165" s="1"/>
      <c r="P165" s="2329">
        <v>22720</v>
      </c>
      <c r="Q165" s="926"/>
      <c r="R165" s="3024"/>
      <c r="S165" s="3079"/>
      <c r="T165" s="3079"/>
      <c r="U165" s="3079"/>
      <c r="V165" s="3025"/>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2">
        <v>30000</v>
      </c>
      <c r="G166" s="3043"/>
      <c r="H166" s="1"/>
      <c r="I166" s="1"/>
      <c r="J166" s="126" t="s">
        <v>193</v>
      </c>
      <c r="K166" s="3050">
        <f>SUM(K164:L165)</f>
        <v>12000</v>
      </c>
      <c r="L166" s="3051"/>
      <c r="M166" s="1"/>
      <c r="N166" s="3044" t="s">
        <v>52</v>
      </c>
      <c r="O166" s="3045"/>
      <c r="P166" s="2330"/>
      <c r="Q166" s="926"/>
      <c r="R166" s="3024"/>
      <c r="S166" s="3079"/>
      <c r="T166" s="3079"/>
      <c r="U166" s="3079"/>
      <c r="V166" s="3025"/>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2" t="s">
        <v>4597</v>
      </c>
      <c r="C167" s="3053"/>
      <c r="D167" s="3053"/>
      <c r="E167" s="3054"/>
      <c r="F167" s="3055">
        <f>5000+2500+(123*6)</f>
        <v>8238</v>
      </c>
      <c r="G167" s="3056"/>
      <c r="H167" s="1"/>
      <c r="I167" s="1"/>
      <c r="J167" s="1"/>
      <c r="K167" s="1"/>
      <c r="L167" s="1"/>
      <c r="M167" s="1"/>
      <c r="N167" s="12" t="s">
        <v>193</v>
      </c>
      <c r="O167" s="1"/>
      <c r="P167" s="419">
        <f>SUM(P164:P166)</f>
        <v>80772</v>
      </c>
      <c r="Q167" s="926"/>
      <c r="R167" s="3024"/>
      <c r="S167" s="3079"/>
      <c r="T167" s="3079"/>
      <c r="U167" s="3079"/>
      <c r="V167" s="3025"/>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0">
        <f>SUM(F164:G167)</f>
        <v>188238</v>
      </c>
      <c r="G168" s="3051"/>
      <c r="H168" s="1"/>
      <c r="I168" s="1"/>
      <c r="J168" s="13"/>
      <c r="K168" s="1"/>
      <c r="L168" s="1"/>
      <c r="M168" s="1"/>
      <c r="N168" s="1"/>
      <c r="O168" s="1"/>
      <c r="P168" s="1"/>
      <c r="Q168" s="1"/>
      <c r="R168" s="3024"/>
      <c r="S168" s="3079"/>
      <c r="T168" s="3079"/>
      <c r="U168" s="3079"/>
      <c r="V168" s="3025"/>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4"/>
      <c r="S169" s="3079"/>
      <c r="T169" s="3079"/>
      <c r="U169" s="3079"/>
      <c r="V169" s="3025"/>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48479</v>
      </c>
      <c r="Q170" s="927"/>
      <c r="R170" s="3024"/>
      <c r="S170" s="3079"/>
      <c r="T170" s="3079"/>
      <c r="U170" s="3079"/>
      <c r="V170" s="3025"/>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0">
        <v>2000</v>
      </c>
      <c r="G171" s="3041"/>
      <c r="H171" s="1"/>
      <c r="I171" s="1" t="s">
        <v>1614</v>
      </c>
      <c r="J171" s="1"/>
      <c r="K171" s="3046">
        <v>12000</v>
      </c>
      <c r="L171" s="3047"/>
      <c r="M171" s="1"/>
      <c r="N171" s="408">
        <f>+P170/(O62*0.93)</f>
        <v>423.80452836786435</v>
      </c>
      <c r="O171" s="69" t="s">
        <v>2774</v>
      </c>
      <c r="P171" s="1"/>
      <c r="Q171" s="1"/>
      <c r="R171" s="3024"/>
      <c r="S171" s="3079"/>
      <c r="T171" s="3079"/>
      <c r="U171" s="3079"/>
      <c r="V171" s="3025"/>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0">
        <v>6600</v>
      </c>
      <c r="G172" s="3041"/>
      <c r="H172" s="1"/>
      <c r="I172" s="1" t="s">
        <v>2065</v>
      </c>
      <c r="J172" s="1"/>
      <c r="K172" s="3048">
        <v>15000</v>
      </c>
      <c r="L172" s="3049"/>
      <c r="M172" s="1"/>
      <c r="N172" s="408">
        <f>+P170/(O62*0.93)/12</f>
        <v>35.31704403065536</v>
      </c>
      <c r="O172" s="69" t="s">
        <v>2775</v>
      </c>
      <c r="P172" s="1"/>
      <c r="Q172" s="1"/>
      <c r="R172" s="3024"/>
      <c r="S172" s="3079"/>
      <c r="T172" s="3079"/>
      <c r="U172" s="3079"/>
      <c r="V172" s="3025"/>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0">
        <v>1800</v>
      </c>
      <c r="G173" s="3041"/>
      <c r="H173" s="1"/>
      <c r="I173" s="1" t="s">
        <v>1615</v>
      </c>
      <c r="J173" s="1"/>
      <c r="K173" s="3048">
        <v>5000</v>
      </c>
      <c r="L173" s="3049"/>
      <c r="M173" s="1"/>
      <c r="N173" s="37" t="s">
        <v>3756</v>
      </c>
      <c r="O173" s="1041"/>
      <c r="P173" s="1041"/>
      <c r="Q173" s="1602"/>
      <c r="R173" s="3024"/>
      <c r="S173" s="3079"/>
      <c r="T173" s="3079"/>
      <c r="U173" s="3079"/>
      <c r="V173" s="3025"/>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040">
        <v>5000</v>
      </c>
      <c r="G174" s="3041"/>
      <c r="H174" s="1"/>
      <c r="I174" s="3044"/>
      <c r="J174" s="3045"/>
      <c r="K174" s="3046"/>
      <c r="L174" s="3047"/>
      <c r="M174" s="1"/>
      <c r="N174" s="1041"/>
      <c r="O174" s="1041"/>
      <c r="P174" s="1041"/>
      <c r="Q174" s="1602"/>
      <c r="R174" s="3024"/>
      <c r="S174" s="3079"/>
      <c r="T174" s="3079"/>
      <c r="U174" s="3079"/>
      <c r="V174" s="3025"/>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0">
        <v>7000</v>
      </c>
      <c r="G175" s="3041"/>
      <c r="H175" s="1"/>
      <c r="I175" s="10"/>
      <c r="J175" s="12" t="s">
        <v>193</v>
      </c>
      <c r="K175" s="3057">
        <f>SUM(K171:K174)</f>
        <v>32000</v>
      </c>
      <c r="L175" s="3058"/>
      <c r="M175" s="3059" t="str">
        <f>IF(P177="","",IF(P175&lt;P177, "WARNING! OE below required minimum.",""))</f>
        <v/>
      </c>
      <c r="N175" s="10" t="s">
        <v>2202</v>
      </c>
      <c r="O175" s="5"/>
      <c r="P175" s="417">
        <f>F168+F177+F188+K166+K175+K185+P167+P170</f>
        <v>557889</v>
      </c>
      <c r="R175" s="3024"/>
      <c r="S175" s="3079"/>
      <c r="T175" s="3079"/>
      <c r="U175" s="3079"/>
      <c r="V175" s="3025"/>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66" t="s">
        <v>4598</v>
      </c>
      <c r="C176" s="3067"/>
      <c r="D176" s="3067"/>
      <c r="E176" s="3068"/>
      <c r="F176" s="3069">
        <v>8000</v>
      </c>
      <c r="G176" s="3070"/>
      <c r="H176" s="1"/>
      <c r="I176" s="1"/>
      <c r="J176" s="13"/>
      <c r="K176" s="1"/>
      <c r="L176" s="1"/>
      <c r="M176" s="3059"/>
      <c r="N176" s="69" t="s">
        <v>2776</v>
      </c>
      <c r="O176" s="408">
        <f>+P175/O62</f>
        <v>4535.6829268292686</v>
      </c>
      <c r="Q176" s="926"/>
      <c r="R176" s="3024"/>
      <c r="S176" s="3079"/>
      <c r="T176" s="3079"/>
      <c r="U176" s="3079"/>
      <c r="V176" s="3025"/>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0">
        <f>SUM(F171:G176)</f>
        <v>30400</v>
      </c>
      <c r="G177" s="3051"/>
      <c r="H177" s="1"/>
      <c r="I177" s="1"/>
      <c r="J177" s="13"/>
      <c r="K177" s="1"/>
      <c r="L177" s="1"/>
      <c r="M177" s="3059"/>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553500</v>
      </c>
      <c r="R177" s="3024"/>
      <c r="S177" s="3079"/>
      <c r="T177" s="3079"/>
      <c r="U177" s="3079"/>
      <c r="V177" s="3025"/>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59"/>
      <c r="N178" s="1"/>
      <c r="O178" s="1"/>
      <c r="P178" s="5"/>
      <c r="Q178" s="5"/>
      <c r="R178" s="3024"/>
      <c r="S178" s="3079"/>
      <c r="T178" s="3079"/>
      <c r="U178" s="3079"/>
      <c r="V178" s="3025"/>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2331">
        <v>43050</v>
      </c>
      <c r="Q179" s="927"/>
      <c r="R179" s="3024"/>
      <c r="S179" s="3079"/>
      <c r="T179" s="3079"/>
      <c r="U179" s="3079"/>
      <c r="V179" s="3025"/>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71">
        <v>12000</v>
      </c>
      <c r="G180" s="3072"/>
      <c r="H180" s="1"/>
      <c r="I180" s="1" t="s">
        <v>1380</v>
      </c>
      <c r="J180" s="481">
        <f>K180/12/O62</f>
        <v>30.487804878048781</v>
      </c>
      <c r="K180" s="3048">
        <v>45000</v>
      </c>
      <c r="L180" s="3049"/>
      <c r="M180" s="3062" t="str">
        <f>IF(P179&lt;P188, "WARNING! RR proposed is below the DCA required minimum.","")</f>
        <v/>
      </c>
      <c r="N180" s="1064" t="s">
        <v>3765</v>
      </c>
      <c r="O180" s="1059"/>
      <c r="P180" s="1065">
        <f>P179/O188</f>
        <v>350</v>
      </c>
      <c r="Q180" s="2332"/>
      <c r="R180" s="3024"/>
      <c r="S180" s="3079"/>
      <c r="T180" s="3079"/>
      <c r="U180" s="3079"/>
      <c r="V180" s="3025"/>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71">
        <v>12000</v>
      </c>
      <c r="G181" s="3072"/>
      <c r="H181" s="1"/>
      <c r="I181" s="1" t="s">
        <v>1381</v>
      </c>
      <c r="J181" s="481">
        <f>K181/12/O62</f>
        <v>0</v>
      </c>
      <c r="K181" s="3048"/>
      <c r="L181" s="3049"/>
      <c r="M181" s="3062"/>
      <c r="N181" s="3063" t="s">
        <v>3764</v>
      </c>
      <c r="O181" s="3064"/>
      <c r="P181" s="3065"/>
      <c r="R181" s="3024"/>
      <c r="S181" s="3079"/>
      <c r="T181" s="3079"/>
      <c r="U181" s="3079"/>
      <c r="V181" s="3025"/>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71">
        <v>10000</v>
      </c>
      <c r="G182" s="3072"/>
      <c r="H182" s="1"/>
      <c r="I182" s="1" t="s">
        <v>2368</v>
      </c>
      <c r="J182" s="481">
        <f>K182/12/O62</f>
        <v>25.067750677506776</v>
      </c>
      <c r="K182" s="3048">
        <v>37000</v>
      </c>
      <c r="L182" s="3049"/>
      <c r="M182" s="3062"/>
      <c r="N182" s="1058" t="s">
        <v>2732</v>
      </c>
      <c r="O182" s="922" t="s">
        <v>3878</v>
      </c>
      <c r="P182" s="1060" t="s">
        <v>3460</v>
      </c>
      <c r="Q182" s="922"/>
      <c r="R182" s="3024"/>
      <c r="S182" s="3079"/>
      <c r="T182" s="3079"/>
      <c r="U182" s="3079"/>
      <c r="V182" s="3025"/>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0">
        <v>5000</v>
      </c>
      <c r="G183" s="3041"/>
      <c r="H183" s="1"/>
      <c r="I183" s="1" t="s">
        <v>1383</v>
      </c>
      <c r="J183" s="1"/>
      <c r="K183" s="3048">
        <v>25000</v>
      </c>
      <c r="L183" s="3049"/>
      <c r="M183" s="3062"/>
      <c r="N183" s="672" t="s">
        <v>40</v>
      </c>
      <c r="O183" s="673"/>
      <c r="P183" s="674"/>
      <c r="Q183" s="673"/>
      <c r="R183" s="3024"/>
      <c r="S183" s="3079"/>
      <c r="T183" s="3079"/>
      <c r="U183" s="3079"/>
      <c r="V183" s="3025"/>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0">
        <v>5000</v>
      </c>
      <c r="G184" s="3041"/>
      <c r="H184" s="1"/>
      <c r="I184" s="3044" t="s">
        <v>52</v>
      </c>
      <c r="J184" s="3045"/>
      <c r="K184" s="3073"/>
      <c r="L184" s="3074"/>
      <c r="M184" s="3062"/>
      <c r="N184" s="516" t="s">
        <v>3452</v>
      </c>
      <c r="O184" s="929" t="str">
        <f>CONCATENATE(SUM(JC48:JG48)," units x $",'DCA Underwriting Assumptions'!$Q$65," =")</f>
        <v>123 units x $350 =</v>
      </c>
      <c r="P184" s="675">
        <f>SUM(JC48:JG48)*'DCA Underwriting Assumptions'!$Q$65</f>
        <v>43050</v>
      </c>
      <c r="Q184" s="929"/>
      <c r="R184" s="3024"/>
      <c r="S184" s="3079"/>
      <c r="T184" s="3079"/>
      <c r="U184" s="3079"/>
      <c r="V184" s="3025"/>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0">
        <v>5000</v>
      </c>
      <c r="G185" s="3041"/>
      <c r="H185" s="1"/>
      <c r="I185" s="1"/>
      <c r="J185" s="12" t="s">
        <v>193</v>
      </c>
      <c r="K185" s="3057">
        <f>SUM(K180:K184)</f>
        <v>107000</v>
      </c>
      <c r="L185" s="3058"/>
      <c r="M185" s="3062"/>
      <c r="N185" s="516" t="s">
        <v>3451</v>
      </c>
      <c r="O185" s="929" t="str">
        <f>CONCATENATE(SUM(JH48:JL48)," units x $",'DCA Underwriting Assumptions'!$Q$66," =")</f>
        <v>0 units x $250 =</v>
      </c>
      <c r="P185" s="675">
        <f>SUM(JH48:JL48)*'DCA Underwriting Assumptions'!$Q$66</f>
        <v>0</v>
      </c>
      <c r="Q185" s="929"/>
      <c r="R185" s="3024"/>
      <c r="S185" s="3079"/>
      <c r="T185" s="3079"/>
      <c r="U185" s="3079"/>
      <c r="V185" s="3025"/>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0">
        <v>10000</v>
      </c>
      <c r="G186" s="3041"/>
      <c r="H186" s="1"/>
      <c r="I186" s="1"/>
      <c r="J186" s="13"/>
      <c r="K186" s="1"/>
      <c r="L186" s="1"/>
      <c r="M186" s="3062"/>
      <c r="N186" s="676" t="s">
        <v>3455</v>
      </c>
      <c r="O186" s="929" t="str">
        <f>CONCATENATE(SUM(JM48:JQ48)," units x $",'DCA Underwriting Assumptions'!$Q$67," =")</f>
        <v>0 units x $420 =</v>
      </c>
      <c r="P186" s="675">
        <f>SUM(JM48:JQ48)*'DCA Underwriting Assumptions'!$Q$67</f>
        <v>0</v>
      </c>
      <c r="Q186" s="929"/>
      <c r="R186" s="3024"/>
      <c r="S186" s="3079"/>
      <c r="T186" s="3079"/>
      <c r="U186" s="3079"/>
      <c r="V186" s="3025"/>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2" t="s">
        <v>52</v>
      </c>
      <c r="C187" s="3053"/>
      <c r="D187" s="3053"/>
      <c r="E187" s="3054"/>
      <c r="F187" s="3055"/>
      <c r="G187" s="3056"/>
      <c r="H187" s="1"/>
      <c r="I187" s="1"/>
      <c r="J187" s="13"/>
      <c r="K187" s="1"/>
      <c r="L187" s="1"/>
      <c r="M187" s="1"/>
      <c r="N187" s="676" t="s">
        <v>3450</v>
      </c>
      <c r="O187" s="929" t="str">
        <f>CONCATENATE(O84," units x $",'DCA Underwriting Assumptions'!$Q$67," =")</f>
        <v>0 units x $420 =</v>
      </c>
      <c r="P187" s="675">
        <f>O84*'DCA Underwriting Assumptions'!$Q$67</f>
        <v>0</v>
      </c>
      <c r="Q187" s="929"/>
      <c r="R187" s="3024"/>
      <c r="S187" s="3079"/>
      <c r="T187" s="3079"/>
      <c r="U187" s="3079"/>
      <c r="V187" s="3025"/>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0">
        <f>SUM(F180:G187)</f>
        <v>59000</v>
      </c>
      <c r="G188" s="3061"/>
      <c r="H188" s="1"/>
      <c r="I188" s="1"/>
      <c r="J188" s="13"/>
      <c r="K188" s="1"/>
      <c r="L188" s="1"/>
      <c r="M188" s="1"/>
      <c r="N188" s="1061" t="s">
        <v>2735</v>
      </c>
      <c r="O188" s="1062">
        <f>SUM(JC48:JG48)+SUM(JH48:JL48)+SUM(JM48:JQ48)+O84</f>
        <v>123</v>
      </c>
      <c r="P188" s="1063">
        <f>SUM(P184:P187)</f>
        <v>43050</v>
      </c>
      <c r="Q188" s="929"/>
      <c r="R188" s="3075"/>
      <c r="S188" s="3078"/>
      <c r="T188" s="3078"/>
      <c r="U188" s="3078"/>
      <c r="V188" s="307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600939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2820" t="s">
        <v>4666</v>
      </c>
      <c r="B193" s="2820"/>
      <c r="C193" s="2820"/>
      <c r="D193" s="2820"/>
      <c r="E193" s="2820"/>
      <c r="F193" s="2820"/>
      <c r="G193" s="2820"/>
      <c r="H193" s="2820"/>
      <c r="I193" s="2820"/>
      <c r="J193" s="2820"/>
      <c r="K193" s="2820"/>
      <c r="L193" s="2820"/>
      <c r="M193" s="2819"/>
      <c r="N193" s="2819"/>
      <c r="O193" s="2819"/>
      <c r="P193" s="2819"/>
      <c r="Q193" s="3082" t="s">
        <v>4155</v>
      </c>
      <c r="R193" s="2435"/>
      <c r="S193" s="2435"/>
      <c r="T193" s="2435"/>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idfDL2WX/VN29FtQfekGpLPh/hwBfgEMAYxUEiD5xw7SmDe3kZwkvWlssdLfSixiyztHP8RzGvHdRoMKCy+jiQ==" saltValue="2er3jkOywOkg9IoHu/XDT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19: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18">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L4"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7" t="str">
        <f>CONCATENATE("PART SEVEN - OPERATING PRO FORMA","  -  ",'Part I-Project Information'!$O$6," ",'Part I-Project Information'!$F$34,", ",'Part I-Project Information'!F38,", ",'Part I-Project Information'!J39," County")</f>
        <v>PART SEVEN - OPERATING PRO FORMA  -  2018-017 Heritage Village at West Lake, Atlanta, Fulton County</v>
      </c>
      <c r="B1" s="3088"/>
      <c r="C1" s="3088"/>
      <c r="D1" s="3088"/>
      <c r="E1" s="3088"/>
      <c r="F1" s="3088"/>
      <c r="G1" s="3088"/>
      <c r="H1" s="3088"/>
      <c r="I1" s="3088"/>
      <c r="J1" s="3088"/>
      <c r="K1" s="3089"/>
      <c r="L1" s="10"/>
      <c r="M1" s="10"/>
      <c r="N1" s="3090" t="str">
        <f>A1</f>
        <v>PART SEVEN - OPERATING PRO FORMA  -  2018-017 Heritage Village at West Lake, Atlanta, Fulton County</v>
      </c>
      <c r="O1" s="3090"/>
      <c r="P1" s="10"/>
    </row>
    <row r="2" spans="1:19" ht="13.5" customHeight="1">
      <c r="A2" s="511"/>
      <c r="B2" s="511"/>
      <c r="C2" s="511"/>
      <c r="D2" s="511"/>
      <c r="E2" s="511"/>
      <c r="F2" s="511"/>
      <c r="G2" s="511"/>
      <c r="H2" s="511"/>
      <c r="I2" s="511"/>
      <c r="J2" s="511"/>
      <c r="K2" s="511"/>
      <c r="N2" s="3091" t="s">
        <v>1859</v>
      </c>
      <c r="O2" s="30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3037" t="s">
        <v>4234</v>
      </c>
      <c r="E5" s="3037"/>
      <c r="F5" s="3037"/>
      <c r="G5" s="2272">
        <f>7500+750</f>
        <v>8250</v>
      </c>
      <c r="H5" s="99" t="s">
        <v>1922</v>
      </c>
      <c r="K5" s="104">
        <f>IF(($B$14+$B$15+$B$16+$B$17)=0,"",B28/($B$14+$B$15+$B$16+$B$17))</f>
        <v>-1.0210633064286241E-2</v>
      </c>
      <c r="N5" s="3031"/>
      <c r="O5" s="3032"/>
    </row>
    <row r="6" spans="1:19">
      <c r="A6" s="17" t="s">
        <v>2205</v>
      </c>
      <c r="B6" s="80">
        <v>0.03</v>
      </c>
      <c r="C6" s="17"/>
      <c r="D6" s="3037"/>
      <c r="E6" s="3037"/>
      <c r="F6" s="3037"/>
      <c r="G6" s="1364">
        <f>IF(OR('Part III-Sources of Funds'!B11="Yes",'Part III-Sources of Funds'!E11&gt;0),'DCA Underwriting Assumptions'!$Q$95,0)</f>
        <v>750</v>
      </c>
      <c r="H6" s="17"/>
      <c r="I6" s="17"/>
      <c r="J6" s="17"/>
      <c r="K6" s="17"/>
      <c r="N6" s="3024"/>
      <c r="O6" s="3025"/>
    </row>
    <row r="7" spans="1:19">
      <c r="A7" s="17" t="s">
        <v>2207</v>
      </c>
      <c r="B7" s="80">
        <v>0.03</v>
      </c>
      <c r="C7" s="17"/>
      <c r="D7" s="82" t="s">
        <v>272</v>
      </c>
      <c r="G7" s="84"/>
      <c r="H7" s="99" t="s">
        <v>2390</v>
      </c>
      <c r="K7" s="104">
        <f>IF(($B$14+$B$15+$B$16+$B$17)=0,"",-B20/($B$14+$B$15+$B$16+$B$17))</f>
        <v>6.0000155190731236E-2</v>
      </c>
      <c r="N7" s="3024"/>
      <c r="O7" s="3025"/>
    </row>
    <row r="8" spans="1:19" ht="13.15" customHeight="1">
      <c r="A8" s="17" t="s">
        <v>2206</v>
      </c>
      <c r="B8" s="2273">
        <v>7.0000000000000007E-2</v>
      </c>
      <c r="C8" s="17"/>
      <c r="D8" s="81" t="s">
        <v>2525</v>
      </c>
      <c r="G8" s="2274"/>
      <c r="H8" s="169" t="s">
        <v>1456</v>
      </c>
      <c r="K8" s="2275"/>
      <c r="N8" s="3024"/>
      <c r="O8" s="3025"/>
    </row>
    <row r="9" spans="1:19">
      <c r="A9" s="17" t="s">
        <v>1430</v>
      </c>
      <c r="B9" s="80">
        <v>0.02</v>
      </c>
      <c r="D9" s="81" t="s">
        <v>1731</v>
      </c>
      <c r="G9" s="2274" t="s">
        <v>3011</v>
      </c>
      <c r="H9" s="169" t="s">
        <v>2372</v>
      </c>
      <c r="K9" s="2276">
        <v>0.06</v>
      </c>
      <c r="N9" s="3075"/>
      <c r="O9" s="307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09" t="s">
        <v>2641</v>
      </c>
      <c r="O13" s="2709"/>
    </row>
    <row r="14" spans="1:19" ht="13.15" customHeight="1">
      <c r="A14" s="19" t="s">
        <v>2420</v>
      </c>
      <c r="B14" s="20">
        <f>'Part VI-Revenues &amp; Expenses'!$L$49</f>
        <v>851761.79999999993</v>
      </c>
      <c r="C14" s="20">
        <f t="shared" ref="C14:K14" si="1">$B$14*(1+$B$5)^(C13-1)</f>
        <v>868797.03599999996</v>
      </c>
      <c r="D14" s="20">
        <f t="shared" si="1"/>
        <v>886172.97671999992</v>
      </c>
      <c r="E14" s="20">
        <f t="shared" si="1"/>
        <v>903896.43625439983</v>
      </c>
      <c r="F14" s="20">
        <f t="shared" si="1"/>
        <v>921974.36497948796</v>
      </c>
      <c r="G14" s="20">
        <f t="shared" si="1"/>
        <v>940413.85227907775</v>
      </c>
      <c r="H14" s="20">
        <f t="shared" si="1"/>
        <v>959222.12932465924</v>
      </c>
      <c r="I14" s="20">
        <f t="shared" si="1"/>
        <v>978406.57191115222</v>
      </c>
      <c r="J14" s="20">
        <f t="shared" si="1"/>
        <v>997974.7033493754</v>
      </c>
      <c r="K14" s="21">
        <f t="shared" si="1"/>
        <v>1017934.1974163629</v>
      </c>
      <c r="N14" s="3031"/>
      <c r="O14" s="3032"/>
      <c r="S14" s="3083" t="s">
        <v>4239</v>
      </c>
    </row>
    <row r="15" spans="1:19" ht="13.15" customHeight="1">
      <c r="A15" s="22" t="s">
        <v>1026</v>
      </c>
      <c r="B15" s="23">
        <f>MIN(B14*B9,'Part VI-Revenues &amp; Expenses'!$H$122)</f>
        <v>17035.235999999997</v>
      </c>
      <c r="C15" s="23">
        <f t="shared" ref="C15:K15" si="2">$B$15*(1+$B$5)^(C13-1)</f>
        <v>17375.940719999999</v>
      </c>
      <c r="D15" s="23">
        <f t="shared" si="2"/>
        <v>17723.459534399997</v>
      </c>
      <c r="E15" s="23">
        <f t="shared" si="2"/>
        <v>18077.928725087997</v>
      </c>
      <c r="F15" s="23">
        <f t="shared" si="2"/>
        <v>18439.487299589757</v>
      </c>
      <c r="G15" s="23">
        <f t="shared" si="2"/>
        <v>18808.277045581552</v>
      </c>
      <c r="H15" s="23">
        <f t="shared" si="2"/>
        <v>19184.442586493184</v>
      </c>
      <c r="I15" s="23">
        <f t="shared" si="2"/>
        <v>19568.131438223045</v>
      </c>
      <c r="J15" s="23">
        <f t="shared" si="2"/>
        <v>19959.494066987507</v>
      </c>
      <c r="K15" s="24">
        <f t="shared" si="2"/>
        <v>20358.683948327256</v>
      </c>
      <c r="N15" s="3024"/>
      <c r="O15" s="3025"/>
      <c r="S15" s="3084"/>
    </row>
    <row r="16" spans="1:19" ht="13.15" customHeight="1">
      <c r="A16" s="22" t="s">
        <v>2421</v>
      </c>
      <c r="B16" s="23">
        <f t="shared" ref="B16:K16" si="3">-(B14+B15)*$B$8</f>
        <v>-60815.792520000003</v>
      </c>
      <c r="C16" s="23">
        <f t="shared" si="3"/>
        <v>-62032.108370399998</v>
      </c>
      <c r="D16" s="23">
        <f t="shared" si="3"/>
        <v>-63272.750537808002</v>
      </c>
      <c r="E16" s="23">
        <f t="shared" si="3"/>
        <v>-64538.205548564154</v>
      </c>
      <c r="F16" s="23">
        <f t="shared" si="3"/>
        <v>-65828.969659535447</v>
      </c>
      <c r="G16" s="23">
        <f t="shared" si="3"/>
        <v>-67145.549052726157</v>
      </c>
      <c r="H16" s="23">
        <f t="shared" si="3"/>
        <v>-68488.460033780677</v>
      </c>
      <c r="I16" s="23">
        <f t="shared" si="3"/>
        <v>-69858.229234456274</v>
      </c>
      <c r="J16" s="23">
        <f t="shared" si="3"/>
        <v>-71255.393819145407</v>
      </c>
      <c r="K16" s="24">
        <f t="shared" si="3"/>
        <v>-72680.501695528321</v>
      </c>
      <c r="N16" s="3024"/>
      <c r="O16" s="3025"/>
      <c r="Q16" s="3086" t="s">
        <v>3914</v>
      </c>
      <c r="R16" s="3086" t="s">
        <v>4238</v>
      </c>
      <c r="S16" s="3084"/>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4"/>
      <c r="O17" s="3025"/>
      <c r="Q17" s="3086"/>
      <c r="R17" s="3086"/>
      <c r="S17" s="3085"/>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4"/>
      <c r="O18" s="3025"/>
    </row>
    <row r="19" spans="1:19" ht="13.15" customHeight="1">
      <c r="A19" s="22" t="s">
        <v>620</v>
      </c>
      <c r="B19" s="23">
        <f>-('Part VI-Revenues &amp; Expenses'!$P$175-'Part VI-Revenues &amp; Expenses'!$P$170)</f>
        <v>-509410</v>
      </c>
      <c r="C19" s="23">
        <f t="shared" ref="C19:K19" si="4">$B$19*(1+$B$6)^(C13-1)</f>
        <v>-524692.30000000005</v>
      </c>
      <c r="D19" s="23">
        <f t="shared" si="4"/>
        <v>-540433.06900000002</v>
      </c>
      <c r="E19" s="23">
        <f t="shared" si="4"/>
        <v>-556646.06107000005</v>
      </c>
      <c r="F19" s="23">
        <f t="shared" si="4"/>
        <v>-573345.44290209992</v>
      </c>
      <c r="G19" s="23">
        <f t="shared" si="4"/>
        <v>-590545.80618916289</v>
      </c>
      <c r="H19" s="23">
        <f t="shared" si="4"/>
        <v>-608262.18037483783</v>
      </c>
      <c r="I19" s="23">
        <f t="shared" si="4"/>
        <v>-626510.04578608298</v>
      </c>
      <c r="J19" s="23">
        <f t="shared" si="4"/>
        <v>-645305.34715966543</v>
      </c>
      <c r="K19" s="24">
        <f t="shared" si="4"/>
        <v>-664664.50757445546</v>
      </c>
      <c r="N19" s="3024"/>
      <c r="O19" s="3025"/>
      <c r="Q19" s="63">
        <v>1</v>
      </c>
      <c r="R19" s="1197">
        <f>-B29</f>
        <v>1522</v>
      </c>
      <c r="S19" s="1197">
        <f>B30+R19</f>
        <v>88417.60981012875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-48479</v>
      </c>
      <c r="C20" s="23">
        <f>IF(AND('Part VII-Pro Forma'!$G$8="Yes",'Part VII-Pro Forma'!$G$9="Yes"),"Choose One!",IF('Part VII-Pro Forma'!$G$8="Yes",ROUND((-$K$8*(1+'Part VII-Pro Forma'!$B$6)^('Part VII-Pro Forma'!C13-1)),),IF('Part VII-Pro Forma'!$G$9="Yes",ROUND((-(SUM(C14:C17)*'Part VII-Pro Forma'!$K$9)),),"Choose mgt fee")))</f>
        <v>-49448</v>
      </c>
      <c r="D20" s="23">
        <f>IF(AND('Part VII-Pro Forma'!$G$8="Yes",'Part VII-Pro Forma'!$G$9="Yes"),"Choose One!",IF('Part VII-Pro Forma'!$G$8="Yes",ROUND((-$K$8*(1+'Part VII-Pro Forma'!$B$6)^('Part VII-Pro Forma'!D13-1)),),IF('Part VII-Pro Forma'!$G$9="Yes",ROUND((-(SUM(D14:D17)*'Part VII-Pro Forma'!$K$9)),),"Choose mgt fee")))</f>
        <v>-50437</v>
      </c>
      <c r="E20" s="23">
        <f>IF(AND('Part VII-Pro Forma'!$G$8="Yes",'Part VII-Pro Forma'!$G$9="Yes"),"Choose One!",IF('Part VII-Pro Forma'!$G$8="Yes",ROUND((-$K$8*(1+'Part VII-Pro Forma'!$B$6)^('Part VII-Pro Forma'!E13-1)),),IF('Part VII-Pro Forma'!$G$9="Yes",ROUND((-(SUM(E14:E17)*'Part VII-Pro Forma'!$K$9)),),"Choose mgt fee")))</f>
        <v>-51446</v>
      </c>
      <c r="F20" s="23">
        <f>IF(AND('Part VII-Pro Forma'!$G$8="Yes",'Part VII-Pro Forma'!$G$9="Yes"),"Choose One!",IF('Part VII-Pro Forma'!$G$8="Yes",ROUND((-$K$8*(1+'Part VII-Pro Forma'!$B$6)^('Part VII-Pro Forma'!F13-1)),),IF('Part VII-Pro Forma'!$G$9="Yes",ROUND((-(SUM(F14:F17)*'Part VII-Pro Forma'!$K$9)),),"Choose mgt fee")))</f>
        <v>-52475</v>
      </c>
      <c r="G20" s="23">
        <f>IF(AND('Part VII-Pro Forma'!$G$8="Yes",'Part VII-Pro Forma'!$G$9="Yes"),"Choose One!",IF('Part VII-Pro Forma'!$G$8="Yes",ROUND((-$K$8*(1+'Part VII-Pro Forma'!$B$6)^('Part VII-Pro Forma'!G13-1)),),IF('Part VII-Pro Forma'!$G$9="Yes",ROUND((-(SUM(G14:G17)*'Part VII-Pro Forma'!$K$9)),),"Choose mgt fee")))</f>
        <v>-53525</v>
      </c>
      <c r="H20" s="23">
        <f>IF(AND('Part VII-Pro Forma'!$G$8="Yes",'Part VII-Pro Forma'!$G$9="Yes"),"Choose One!",IF('Part VII-Pro Forma'!$G$8="Yes",ROUND((-$K$8*(1+'Part VII-Pro Forma'!$B$6)^('Part VII-Pro Forma'!H13-1)),),IF('Part VII-Pro Forma'!$G$9="Yes",ROUND((-(SUM(H14:H17)*'Part VII-Pro Forma'!$K$9)),),"Choose mgt fee")))</f>
        <v>-54595</v>
      </c>
      <c r="I20" s="23">
        <f>IF(AND('Part VII-Pro Forma'!$G$8="Yes",'Part VII-Pro Forma'!$G$9="Yes"),"Choose One!",IF('Part VII-Pro Forma'!$G$8="Yes",ROUND((-$K$8*(1+'Part VII-Pro Forma'!$B$6)^('Part VII-Pro Forma'!I13-1)),),IF('Part VII-Pro Forma'!$G$9="Yes",ROUND((-(SUM(I14:I17)*'Part VII-Pro Forma'!$K$9)),),"Choose mgt fee")))</f>
        <v>-55687</v>
      </c>
      <c r="J20" s="23">
        <f>IF(AND('Part VII-Pro Forma'!$G$8="Yes",'Part VII-Pro Forma'!$G$9="Yes"),"Choose One!",IF('Part VII-Pro Forma'!$G$8="Yes",ROUND((-$K$8*(1+'Part VII-Pro Forma'!$B$6)^('Part VII-Pro Forma'!J13-1)),),IF('Part VII-Pro Forma'!$G$9="Yes",ROUND((-(SUM(J14:J17)*'Part VII-Pro Forma'!$K$9)),),"Choose mgt fee")))</f>
        <v>-56801</v>
      </c>
      <c r="K20" s="23">
        <f>IF(AND('Part VII-Pro Forma'!$G$8="Yes",'Part VII-Pro Forma'!$G$9="Yes"),"Choose One!",IF('Part VII-Pro Forma'!$G$8="Yes",ROUND((-$K$8*(1+'Part VII-Pro Forma'!$B$6)^('Part VII-Pro Forma'!K13-1)),),IF('Part VII-Pro Forma'!$G$9="Yes",ROUND((-(SUM(K14:K17)*'Part VII-Pro Forma'!$K$9)),),"Choose mgt fee")))</f>
        <v>-57937</v>
      </c>
      <c r="N20" s="3024"/>
      <c r="O20" s="3025"/>
      <c r="Q20" s="63">
        <v>2</v>
      </c>
      <c r="R20" s="1197">
        <f>-SUM($B$29:$C$29)</f>
        <v>1522</v>
      </c>
      <c r="S20" s="1197">
        <f>SUM($B$30:$C$30)+R20</f>
        <v>175227.04448985739</v>
      </c>
    </row>
    <row r="21" spans="1:19" ht="13.15" customHeight="1">
      <c r="A21" s="22" t="s">
        <v>1214</v>
      </c>
      <c r="B21" s="23">
        <f>-('Part VI-Revenues &amp; Expenses'!$P$179)</f>
        <v>-43050</v>
      </c>
      <c r="C21" s="23">
        <f t="shared" ref="C21:K21" si="5">$B$21*(1+$B$7)^(C13-1)</f>
        <v>-44341.5</v>
      </c>
      <c r="D21" s="23">
        <f t="shared" si="5"/>
        <v>-45671.744999999995</v>
      </c>
      <c r="E21" s="23">
        <f t="shared" si="5"/>
        <v>-47041.897349999999</v>
      </c>
      <c r="F21" s="23">
        <f t="shared" si="5"/>
        <v>-48453.154270499996</v>
      </c>
      <c r="G21" s="23">
        <f t="shared" si="5"/>
        <v>-49906.748898614991</v>
      </c>
      <c r="H21" s="23">
        <f t="shared" si="5"/>
        <v>-51403.951365573448</v>
      </c>
      <c r="I21" s="23">
        <f t="shared" si="5"/>
        <v>-52946.069906540652</v>
      </c>
      <c r="J21" s="23">
        <f t="shared" si="5"/>
        <v>-54534.452003736864</v>
      </c>
      <c r="K21" s="24">
        <f t="shared" si="5"/>
        <v>-56170.485563848975</v>
      </c>
      <c r="N21" s="3024"/>
      <c r="O21" s="3025"/>
      <c r="Q21" s="63">
        <v>3</v>
      </c>
      <c r="R21" s="1197">
        <f>-SUM($B$29:$D$29)</f>
        <v>1522</v>
      </c>
      <c r="S21" s="1197">
        <f>SUM($B$30:$D$30)+R21</f>
        <v>260227.53253657807</v>
      </c>
    </row>
    <row r="22" spans="1:19" ht="13.15" customHeight="1">
      <c r="A22" s="22" t="s">
        <v>1215</v>
      </c>
      <c r="B22" s="23">
        <f t="shared" ref="B22:K22" si="6">SUM(B14:B21)</f>
        <v>207042.24347999995</v>
      </c>
      <c r="C22" s="23">
        <f t="shared" si="6"/>
        <v>205659.06834959984</v>
      </c>
      <c r="D22" s="23">
        <f t="shared" si="6"/>
        <v>204081.87171659188</v>
      </c>
      <c r="E22" s="23">
        <f t="shared" si="6"/>
        <v>202302.2010109236</v>
      </c>
      <c r="F22" s="23">
        <f t="shared" si="6"/>
        <v>200311.28544694238</v>
      </c>
      <c r="G22" s="23">
        <f t="shared" si="6"/>
        <v>198099.02518415535</v>
      </c>
      <c r="H22" s="23">
        <f t="shared" si="6"/>
        <v>195656.98013696051</v>
      </c>
      <c r="I22" s="23">
        <f t="shared" si="6"/>
        <v>192973.35842229534</v>
      </c>
      <c r="J22" s="23">
        <f t="shared" si="6"/>
        <v>190038.00443381525</v>
      </c>
      <c r="K22" s="24">
        <f t="shared" si="6"/>
        <v>186840.38653085742</v>
      </c>
      <c r="N22" s="3024"/>
      <c r="O22" s="3025"/>
      <c r="Q22" s="1040">
        <v>4</v>
      </c>
      <c r="R22" s="1197">
        <f>-SUM($B$29:$E$29)</f>
        <v>1522</v>
      </c>
      <c r="S22" s="1197">
        <f>SUM($B$30:$E$30)+R22</f>
        <v>343209.64737763046</v>
      </c>
    </row>
    <row r="23" spans="1:19" ht="13.15" customHeight="1">
      <c r="A23" s="435" t="s">
        <v>1603</v>
      </c>
      <c r="B23" s="2277">
        <f>IF('Part III-Sources of Funds'!$N$37="", 0,-'Part III-Sources of Funds'!$N$37)</f>
        <v>-110374.6336698712</v>
      </c>
      <c r="C23" s="2277">
        <f>IF('Part III-Sources of Funds'!$N$37="", 0,-'Part III-Sources of Funds'!$N$37)</f>
        <v>-110374.6336698712</v>
      </c>
      <c r="D23" s="2277">
        <f>IF('Part III-Sources of Funds'!$N$37="", 0,-'Part III-Sources of Funds'!$N$37)</f>
        <v>-110374.6336698712</v>
      </c>
      <c r="E23" s="2277">
        <f>IF('Part III-Sources of Funds'!$N$37="", 0,-'Part III-Sources of Funds'!$N$37)</f>
        <v>-110374.6336698712</v>
      </c>
      <c r="F23" s="2277">
        <f>IF('Part III-Sources of Funds'!$N$37="", 0,-'Part III-Sources of Funds'!$N$37)</f>
        <v>-110374.6336698712</v>
      </c>
      <c r="G23" s="2277">
        <f>IF('Part III-Sources of Funds'!$N$37="", 0,-'Part III-Sources of Funds'!$N$37)</f>
        <v>-110374.6336698712</v>
      </c>
      <c r="H23" s="2277">
        <f>IF('Part III-Sources of Funds'!$N$37="", 0,-'Part III-Sources of Funds'!$N$37)</f>
        <v>-110374.6336698712</v>
      </c>
      <c r="I23" s="2277">
        <f>IF('Part III-Sources of Funds'!$N$37="", 0,-'Part III-Sources of Funds'!$N$37)</f>
        <v>-110374.6336698712</v>
      </c>
      <c r="J23" s="2277">
        <f>IF('Part III-Sources of Funds'!$N$37="", 0,-'Part III-Sources of Funds'!$N$37)</f>
        <v>-110374.6336698712</v>
      </c>
      <c r="K23" s="2277">
        <f>IF('Part III-Sources of Funds'!$N$37="", 0,-'Part III-Sources of Funds'!$N$37)</f>
        <v>-110374.6336698712</v>
      </c>
      <c r="N23" s="3024"/>
      <c r="O23" s="3025"/>
      <c r="Q23" s="1040">
        <v>5</v>
      </c>
      <c r="R23" s="1197">
        <f>-SUM($B$29:$F$29)</f>
        <v>1522</v>
      </c>
      <c r="S23" s="1197">
        <f>SUM($B$30:$F$30)+R23</f>
        <v>423954.98307970166</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24"/>
      <c r="O24" s="3025"/>
      <c r="Q24" s="1040">
        <v>6</v>
      </c>
      <c r="R24" s="1197">
        <f>-SUM($B$29:$G$29)</f>
        <v>1522</v>
      </c>
      <c r="S24" s="1197">
        <f>SUM($B$30:$G$30)+R24</f>
        <v>502234.8190367358</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24"/>
      <c r="O25" s="3025"/>
      <c r="Q25" s="1040">
        <v>7</v>
      </c>
      <c r="R25" s="1197">
        <f>-SUM($B$29:$H$29)</f>
        <v>1522</v>
      </c>
      <c r="S25" s="1197">
        <f>SUM($B$30:$H$30)+R25</f>
        <v>577811.77327985759</v>
      </c>
    </row>
    <row r="26" spans="1:19" ht="13.15" customHeight="1">
      <c r="A26" s="435" t="s">
        <v>3881</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24"/>
      <c r="O26" s="3025"/>
      <c r="Q26" s="1040">
        <v>8</v>
      </c>
      <c r="R26" s="1197">
        <f>-SUM($B$29:$I$29)</f>
        <v>1522</v>
      </c>
      <c r="S26" s="1197">
        <f>SUM($B$30:$I$30)+R26</f>
        <v>650436.44404159521</v>
      </c>
    </row>
    <row r="27" spans="1:19" ht="13.15" customHeight="1">
      <c r="A27" s="22" t="s">
        <v>771</v>
      </c>
      <c r="B27" s="2279"/>
      <c r="C27" s="2279"/>
      <c r="D27" s="2279"/>
      <c r="E27" s="2279"/>
      <c r="F27" s="2279"/>
      <c r="G27" s="2279"/>
      <c r="H27" s="2279"/>
      <c r="I27" s="2279"/>
      <c r="J27" s="2279"/>
      <c r="K27" s="2279"/>
      <c r="N27" s="3024"/>
      <c r="O27" s="3025"/>
      <c r="Q27" s="1040">
        <v>9</v>
      </c>
      <c r="R27" s="1197">
        <f>-SUM($B$29:$J$29)</f>
        <v>1522</v>
      </c>
      <c r="S27" s="1197">
        <f>SUM($B$30:$J$30)+R27</f>
        <v>719849.03919513221</v>
      </c>
    </row>
    <row r="28" spans="1:19" ht="13.15" customHeight="1">
      <c r="A28" s="435" t="s">
        <v>1174</v>
      </c>
      <c r="B28" s="2280">
        <f>-(7500+750)</f>
        <v>-8250</v>
      </c>
      <c r="C28" s="2280">
        <f>-(7725+750)</f>
        <v>-8475</v>
      </c>
      <c r="D28" s="2280">
        <f>-(7956.75+750)</f>
        <v>-8706.75</v>
      </c>
      <c r="E28" s="2280">
        <f>-(8195.4525+750)</f>
        <v>-8945.4524999999994</v>
      </c>
      <c r="F28" s="2280">
        <f>-(8441.316075+750)</f>
        <v>-9191.3160750000006</v>
      </c>
      <c r="G28" s="2280">
        <f>-(8694.55555725+750)</f>
        <v>-9444.5555572499998</v>
      </c>
      <c r="H28" s="2280">
        <f>-(8955.3922239675+750)</f>
        <v>-9705.3922239674994</v>
      </c>
      <c r="I28" s="2280">
        <f>-(9224.05399068653+750)</f>
        <v>-9974.0539906865306</v>
      </c>
      <c r="J28" s="2280">
        <f>-(9500.77561040712+750)</f>
        <v>-10250.77561040712</v>
      </c>
      <c r="K28" s="2280">
        <f>-(9785.79887871934+750)</f>
        <v>-10535.798878719341</v>
      </c>
      <c r="N28" s="3024"/>
      <c r="O28" s="3025"/>
      <c r="Q28" s="1040">
        <v>10</v>
      </c>
      <c r="R28" s="1197">
        <f>-SUM($B$29:$K$29)</f>
        <v>1522</v>
      </c>
      <c r="S28" s="1197">
        <f>SUM($B$30:$K$30)+R28</f>
        <v>785778.99317739904</v>
      </c>
    </row>
    <row r="29" spans="1:19" ht="13.15" customHeight="1">
      <c r="A29" s="435" t="s">
        <v>4129</v>
      </c>
      <c r="B29" s="2281">
        <v>-1522</v>
      </c>
      <c r="C29" s="2281"/>
      <c r="D29" s="2281"/>
      <c r="E29" s="2281"/>
      <c r="F29" s="2281"/>
      <c r="G29" s="2281"/>
      <c r="H29" s="2281"/>
      <c r="I29" s="2281"/>
      <c r="J29" s="2281"/>
      <c r="K29" s="2281"/>
      <c r="N29" s="3024"/>
      <c r="O29" s="3025"/>
      <c r="Q29" s="1040">
        <v>11</v>
      </c>
      <c r="R29" s="1197">
        <f>-SUM($B$29:$K$29)-$B$59</f>
        <v>1522</v>
      </c>
      <c r="S29" s="1197">
        <f>SUM($B$30:$K$30)+$B$60+R29</f>
        <v>847944.57099253871</v>
      </c>
    </row>
    <row r="30" spans="1:19" ht="13.15" customHeight="1">
      <c r="A30" s="22" t="s">
        <v>1175</v>
      </c>
      <c r="B30" s="23">
        <f>SUM(B22:B29)</f>
        <v>86895.60981012875</v>
      </c>
      <c r="C30" s="23">
        <f t="shared" ref="C30:K30" si="7">SUM(C22:C29)</f>
        <v>86809.434679728642</v>
      </c>
      <c r="D30" s="23">
        <f t="shared" si="7"/>
        <v>85000.488046720682</v>
      </c>
      <c r="E30" s="23">
        <f t="shared" si="7"/>
        <v>82982.114841052404</v>
      </c>
      <c r="F30" s="23">
        <f t="shared" si="7"/>
        <v>80745.335702071185</v>
      </c>
      <c r="G30" s="23">
        <f t="shared" si="7"/>
        <v>78279.835957034156</v>
      </c>
      <c r="H30" s="23">
        <f t="shared" si="7"/>
        <v>75576.954243121814</v>
      </c>
      <c r="I30" s="23">
        <f t="shared" si="7"/>
        <v>72624.670761737609</v>
      </c>
      <c r="J30" s="23">
        <f t="shared" si="7"/>
        <v>69412.595153536939</v>
      </c>
      <c r="K30" s="23">
        <f t="shared" si="7"/>
        <v>65929.953982266874</v>
      </c>
      <c r="N30" s="3024"/>
      <c r="O30" s="3025"/>
      <c r="Q30" s="1040">
        <v>12</v>
      </c>
      <c r="R30" s="1197">
        <f>-SUM($B$29:$K$29) - SUM($B$59:$C$59)</f>
        <v>1522</v>
      </c>
      <c r="S30" s="1197">
        <f>SUM($B$30:$K$30) + SUM($B$60:$C$60)+R30</f>
        <v>906050.45887960296</v>
      </c>
    </row>
    <row r="31" spans="1:19" ht="13.15" customHeight="1">
      <c r="A31" s="22" t="str">
        <f>IF('Part III-Sources of Funds'!$E$37 = "Neither", "", "DCR Mortgage A")</f>
        <v>DCR Mortgage A</v>
      </c>
      <c r="B31" s="25">
        <f t="shared" ref="B31:K31" si="8">IF(B23=0,"",-B22/B23)</f>
        <v>1.8758136411964008</v>
      </c>
      <c r="C31" s="25">
        <f t="shared" si="8"/>
        <v>1.8632820015939795</v>
      </c>
      <c r="D31" s="25">
        <f t="shared" si="8"/>
        <v>1.8489925169491168</v>
      </c>
      <c r="E31" s="25">
        <f t="shared" si="8"/>
        <v>1.8328686065315181</v>
      </c>
      <c r="F31" s="25">
        <f t="shared" si="8"/>
        <v>1.8148308065607746</v>
      </c>
      <c r="G31" s="25">
        <f t="shared" si="8"/>
        <v>1.7947876119495576</v>
      </c>
      <c r="H31" s="25">
        <f t="shared" si="8"/>
        <v>1.7726625550773512</v>
      </c>
      <c r="I31" s="25">
        <f t="shared" si="8"/>
        <v>1.748348800861941</v>
      </c>
      <c r="J31" s="25">
        <f t="shared" si="8"/>
        <v>1.7217543389744419</v>
      </c>
      <c r="K31" s="26">
        <f t="shared" si="8"/>
        <v>1.6927837521952198</v>
      </c>
      <c r="N31" s="3024"/>
      <c r="O31" s="3025"/>
      <c r="Q31" s="1040">
        <v>13</v>
      </c>
      <c r="R31" s="1197">
        <f>-SUM($B$29:$K$29) - SUM($B$59:$D$59)</f>
        <v>1522</v>
      </c>
      <c r="S31" s="1197">
        <f>SUM($B$30:$K$30) + SUM($B$60:$D$60)+R31</f>
        <v>959789.34121529758</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3024"/>
      <c r="O32" s="3025"/>
      <c r="Q32" s="1040">
        <v>14</v>
      </c>
      <c r="R32" s="1197">
        <f>-SUM($B$29:$K$29) - SUM($B$59:$E$59)</f>
        <v>1522</v>
      </c>
      <c r="S32" s="1197">
        <f>SUM($B$30:$K$30) + SUM($B$60:$E$60)+R32</f>
        <v>1008841.4632091195</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024"/>
      <c r="O33" s="3025"/>
      <c r="Q33" s="1040">
        <v>15</v>
      </c>
      <c r="R33" s="1197">
        <f>-SUM($B$29:$K$29) - SUM($B$59:$F$59)</f>
        <v>1522</v>
      </c>
      <c r="S33" s="1197">
        <f>SUM($B$30:$K$30) + SUM($B$60:$F$60)+R33</f>
        <v>1052874.178934372</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024"/>
      <c r="O34" s="3025"/>
      <c r="Q34" s="63">
        <v>16</v>
      </c>
      <c r="R34" s="1197">
        <f>-SUM($B$29:$K$29) - SUM($B$59:$G$59)</f>
        <v>1522</v>
      </c>
      <c r="S34" s="1197">
        <f>SUM($B$30:$K$30) + SUM($B$60:$G$60)+R34</f>
        <v>1103225.2398487336</v>
      </c>
    </row>
    <row r="35" spans="1:19" ht="13.15" customHeight="1">
      <c r="A35" s="435" t="s">
        <v>3739</v>
      </c>
      <c r="B35" s="25">
        <f t="shared" ref="B35:K35" si="12">IF(AND(B23=0,B24=0,B25=0,B26=0),"",-B22/(B23+B24+B25+B26))</f>
        <v>1.8758136411964008</v>
      </c>
      <c r="C35" s="25">
        <f t="shared" si="12"/>
        <v>1.8632820015939795</v>
      </c>
      <c r="D35" s="25">
        <f t="shared" si="12"/>
        <v>1.8489925169491168</v>
      </c>
      <c r="E35" s="25">
        <f t="shared" si="12"/>
        <v>1.8328686065315181</v>
      </c>
      <c r="F35" s="25">
        <f t="shared" si="12"/>
        <v>1.8148308065607746</v>
      </c>
      <c r="G35" s="25">
        <f t="shared" si="12"/>
        <v>1.7947876119495576</v>
      </c>
      <c r="H35" s="25">
        <f t="shared" si="12"/>
        <v>1.7726625550773512</v>
      </c>
      <c r="I35" s="25">
        <f t="shared" si="12"/>
        <v>1.748348800861941</v>
      </c>
      <c r="J35" s="25">
        <f t="shared" si="12"/>
        <v>1.7217543389744419</v>
      </c>
      <c r="K35" s="26">
        <f t="shared" si="12"/>
        <v>1.6927837521952198</v>
      </c>
      <c r="N35" s="3024"/>
      <c r="O35" s="3025"/>
      <c r="Q35" s="63">
        <v>17</v>
      </c>
      <c r="R35" s="1197">
        <f>-SUM($B$29:$K$29) - SUM($B$59:$H$59)</f>
        <v>1522</v>
      </c>
      <c r="S35" s="1197">
        <f>SUM($B$30:$K$30) + SUM($B$60:$H$60)+R35</f>
        <v>1148198.5878650276</v>
      </c>
    </row>
    <row r="36" spans="1:19" ht="13.15" customHeight="1">
      <c r="A36" s="22" t="s">
        <v>778</v>
      </c>
      <c r="B36" s="274">
        <f t="shared" ref="B36:K36" si="13">IF(OR(B20="Choose mgt fee",B20="Choose One!"),"",(B14+B15+B16+B17+B18) / -(B19+B20+B21))</f>
        <v>1.3445312144493866</v>
      </c>
      <c r="C36" s="274">
        <f t="shared" si="13"/>
        <v>1.3325224256390404</v>
      </c>
      <c r="D36" s="274">
        <f t="shared" si="13"/>
        <v>1.3206103153446442</v>
      </c>
      <c r="E36" s="274">
        <f t="shared" si="13"/>
        <v>1.3087951683939876</v>
      </c>
      <c r="F36" s="274">
        <f t="shared" si="13"/>
        <v>1.2970771602015836</v>
      </c>
      <c r="G36" s="274">
        <f t="shared" si="13"/>
        <v>1.2854545132358044</v>
      </c>
      <c r="H36" s="274">
        <f t="shared" si="13"/>
        <v>1.2739291996194879</v>
      </c>
      <c r="I36" s="274">
        <f t="shared" si="13"/>
        <v>1.26249767467452</v>
      </c>
      <c r="J36" s="274">
        <f t="shared" si="13"/>
        <v>1.2511601339022893</v>
      </c>
      <c r="K36" s="275">
        <f t="shared" si="13"/>
        <v>1.2399166741704795</v>
      </c>
      <c r="N36" s="3024"/>
      <c r="O36" s="3025"/>
      <c r="Q36" s="63">
        <v>18</v>
      </c>
      <c r="R36" s="1197">
        <f>-SUM($B$29:$K$29) - SUM($B$59:$I$59)</f>
        <v>1522</v>
      </c>
      <c r="S36" s="1197">
        <f>SUM($B$30:$K$30) + SUM($B$60:$I$60)+R36</f>
        <v>1187428.5543216001</v>
      </c>
    </row>
    <row r="37" spans="1:19" ht="13.15" customHeight="1">
      <c r="A37" s="435" t="s">
        <v>2634</v>
      </c>
      <c r="B37" s="2282">
        <f>IF('Part III-Sources of Funds'!$I$37="","",-FV('Part III-Sources of Funds'!$K$37/12,12,B23/12,'Part III-Sources of Funds'!$I$37))</f>
        <v>1909209.99649592</v>
      </c>
      <c r="C37" s="2282">
        <f>IF('Part III-Sources of Funds'!$I$37="","",-FV('Part III-Sources of Funds'!$K$37/12,12,C23/12,B37))</f>
        <v>1817507.9201676911</v>
      </c>
      <c r="D37" s="2282">
        <f>IF('Part III-Sources of Funds'!$I$37="","",-FV('Part III-Sources of Funds'!$K$37/12,12,D23/12,C37))</f>
        <v>1724884.6083673956</v>
      </c>
      <c r="E37" s="2282">
        <f>IF('Part III-Sources of Funds'!$I$37="","",-FV('Part III-Sources of Funds'!$K$37/12,12,E23/12,D37))</f>
        <v>1631330.8063995133</v>
      </c>
      <c r="F37" s="2282">
        <f>IF('Part III-Sources of Funds'!$I$37="","",-FV('Part III-Sources of Funds'!$K$37/12,12,F23/12,E37))</f>
        <v>1536837.1665962145</v>
      </c>
      <c r="G37" s="2282">
        <f>IF('Part III-Sources of Funds'!$I$37="","",-FV('Part III-Sources of Funds'!$K$37/12,12,G23/12,F37))</f>
        <v>1441394.2473833645</v>
      </c>
      <c r="H37" s="2282">
        <f>IF('Part III-Sources of Funds'!$I$37="","",-FV('Part III-Sources of Funds'!$K$37/12,12,H23/12,G37))</f>
        <v>1344992.5123371438</v>
      </c>
      <c r="I37" s="2282">
        <f>IF('Part III-Sources of Funds'!$I$37="","",-FV('Part III-Sources of Funds'!$K$37/12,12,I23/12,H37))</f>
        <v>1247622.3292311924</v>
      </c>
      <c r="J37" s="2282">
        <f>IF('Part III-Sources of Funds'!$I$37="","",-FV('Part III-Sources of Funds'!$K$37/12,12,J23/12,I37))</f>
        <v>1149273.969074181</v>
      </c>
      <c r="K37" s="2282">
        <f>IF('Part III-Sources of Funds'!$I$37="","",-FV('Part III-Sources of Funds'!$K$37/12,12,K23/12,J37))</f>
        <v>1049937.605137714</v>
      </c>
      <c r="N37" s="3024"/>
      <c r="O37" s="3025"/>
      <c r="Q37" s="1040">
        <v>19</v>
      </c>
      <c r="R37" s="1197">
        <f>-SUM($B$29:$K$29) - SUM($B$59:$J$59)</f>
        <v>1522</v>
      </c>
      <c r="S37" s="1197">
        <f>SUM($B$30:$K$30) + SUM($B$60:$J$60)+R37</f>
        <v>1220533.9307514525</v>
      </c>
    </row>
    <row r="38" spans="1:19" ht="13.15" customHeight="1">
      <c r="A38" s="435" t="s">
        <v>2635</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24"/>
      <c r="O38" s="3025"/>
      <c r="Q38" s="1040">
        <v>20</v>
      </c>
      <c r="R38" s="1197">
        <f>-SUM($B$29:$K$29) - SUM($B$59:$K$59)</f>
        <v>1522</v>
      </c>
      <c r="S38" s="1197">
        <f>SUM($B$30:$K$30) + SUM($B$60:$K$60)+R38</f>
        <v>1247118.4456931734</v>
      </c>
    </row>
    <row r="39" spans="1:19" ht="13.15" customHeight="1">
      <c r="A39" s="435" t="s">
        <v>2636</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24"/>
      <c r="O39" s="3025"/>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24"/>
      <c r="O40" s="3025"/>
    </row>
    <row r="41" spans="1:19" ht="13.15" customHeight="1">
      <c r="A41" s="435" t="s">
        <v>4130</v>
      </c>
      <c r="B41" s="2281">
        <f>IF('Part III-Sources of Funds'!$I$42="","",-FV('Part III-Sources of Funds'!$K$42/12,12,B29/12,'Part III-Sources of Funds'!$I$42))</f>
        <v>0</v>
      </c>
      <c r="C41" s="2281">
        <f>IF('Part III-Sources of Funds'!$I$42="","",IF(-FV('Part III-Sources of Funds'!$K$42/12,12,C29/12,B41)&gt;0,-FV('Part III-Sources of Funds'!$K$42/12,12,C29/12,B41),0))</f>
        <v>0</v>
      </c>
      <c r="D41" s="2281">
        <f>IF('Part III-Sources of Funds'!$I$42="","",IF(-FV('Part III-Sources of Funds'!$K$42/12,12,D29/12,C41)&gt;0,-FV('Part III-Sources of Funds'!$K$42/12,12,D29/12,C41),0))</f>
        <v>0</v>
      </c>
      <c r="E41" s="2281">
        <f>IF('Part III-Sources of Funds'!$I$42="","",IF(-FV('Part III-Sources of Funds'!$K$42/12,12,E29/12,D41)&gt;0,-FV('Part III-Sources of Funds'!$K$42/12,12,E29/12,D41),0))</f>
        <v>0</v>
      </c>
      <c r="F41" s="2281">
        <f>IF('Part III-Sources of Funds'!$I$42="","",IF(-FV('Part III-Sources of Funds'!$K$42/12,12,F29/12,E41)&gt;0,-FV('Part III-Sources of Funds'!$K$42/12,12,F29/12,E41),0))</f>
        <v>0</v>
      </c>
      <c r="G41" s="2281">
        <f>IF('Part III-Sources of Funds'!$I$42="","",IF(-FV('Part III-Sources of Funds'!$K$42/12,12,G29/12,F41)&gt;0,-FV('Part III-Sources of Funds'!$K$42/12,12,G29/12,F41),0))</f>
        <v>0</v>
      </c>
      <c r="H41" s="2281">
        <f>IF('Part III-Sources of Funds'!$I$42="","",IF(-FV('Part III-Sources of Funds'!$K$42/12,12,H29/12,G41)&gt;0,-FV('Part III-Sources of Funds'!$K$42/12,12,H29/12,G41),0))</f>
        <v>0</v>
      </c>
      <c r="I41" s="2281">
        <f>IF('Part III-Sources of Funds'!$I$42="","",IF(-FV('Part III-Sources of Funds'!$K$42/12,12,I29/12,H41)&gt;0,-FV('Part III-Sources of Funds'!$K$42/12,12,I29/12,H41),0))</f>
        <v>0</v>
      </c>
      <c r="J41" s="2281">
        <f>IF('Part III-Sources of Funds'!$I$42="","",IF(-FV('Part III-Sources of Funds'!$K$42/12,12,J29/12,I41)&gt;0,-FV('Part III-Sources of Funds'!$K$42/12,12,J29/12,I41),0))</f>
        <v>0</v>
      </c>
      <c r="K41" s="2281">
        <f>IF('Part III-Sources of Funds'!$I$42="","",IF(-FV('Part III-Sources of Funds'!$K$42/12,12,K29/12,J41)&gt;0,-FV('Part III-Sources of Funds'!$K$42/12,12,K29/12,J41),0))</f>
        <v>0</v>
      </c>
      <c r="N41" s="3075"/>
      <c r="O41" s="307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2709" t="s">
        <v>2639</v>
      </c>
      <c r="O43" s="2709"/>
    </row>
    <row r="44" spans="1:19" ht="13.15" customHeight="1">
      <c r="A44" s="19" t="s">
        <v>2420</v>
      </c>
      <c r="B44" s="20">
        <f t="shared" ref="B44:K44" si="15">$B$14*(1+$B$5)^(B43-1)</f>
        <v>1038292.8813646903</v>
      </c>
      <c r="C44" s="20">
        <f t="shared" si="15"/>
        <v>1059058.7389919839</v>
      </c>
      <c r="D44" s="20">
        <f t="shared" si="15"/>
        <v>1080239.9137718237</v>
      </c>
      <c r="E44" s="20">
        <f t="shared" si="15"/>
        <v>1101844.71204726</v>
      </c>
      <c r="F44" s="20">
        <f t="shared" si="15"/>
        <v>1123881.6062882054</v>
      </c>
      <c r="G44" s="20">
        <f t="shared" si="15"/>
        <v>1146359.2384139693</v>
      </c>
      <c r="H44" s="20">
        <f t="shared" si="15"/>
        <v>1169286.4231822488</v>
      </c>
      <c r="I44" s="20">
        <f t="shared" si="15"/>
        <v>1192672.1516458939</v>
      </c>
      <c r="J44" s="20">
        <f t="shared" si="15"/>
        <v>1216525.5946788115</v>
      </c>
      <c r="K44" s="21">
        <f t="shared" si="15"/>
        <v>1240856.1065723877</v>
      </c>
      <c r="N44" s="3031"/>
      <c r="O44" s="3032"/>
    </row>
    <row r="45" spans="1:19" ht="13.15" customHeight="1">
      <c r="A45" s="22" t="s">
        <v>1026</v>
      </c>
      <c r="B45" s="23">
        <f t="shared" ref="B45:K45" si="16">$B$15*(1+$B$5)^(B43-1)</f>
        <v>20765.857627293804</v>
      </c>
      <c r="C45" s="23">
        <f t="shared" si="16"/>
        <v>21181.174779839675</v>
      </c>
      <c r="D45" s="23">
        <f t="shared" si="16"/>
        <v>21604.798275436471</v>
      </c>
      <c r="E45" s="23">
        <f t="shared" si="16"/>
        <v>22036.894240945199</v>
      </c>
      <c r="F45" s="23">
        <f t="shared" si="16"/>
        <v>22477.632125764107</v>
      </c>
      <c r="G45" s="23">
        <f t="shared" si="16"/>
        <v>22927.184768279381</v>
      </c>
      <c r="H45" s="23">
        <f t="shared" si="16"/>
        <v>23385.728463644973</v>
      </c>
      <c r="I45" s="23">
        <f t="shared" si="16"/>
        <v>23853.443032917876</v>
      </c>
      <c r="J45" s="23">
        <f t="shared" si="16"/>
        <v>24330.511893576229</v>
      </c>
      <c r="K45" s="24">
        <f t="shared" si="16"/>
        <v>24817.122131447755</v>
      </c>
      <c r="N45" s="3024"/>
      <c r="O45" s="3025"/>
    </row>
    <row r="46" spans="1:19" ht="13.15" customHeight="1">
      <c r="A46" s="22" t="s">
        <v>2421</v>
      </c>
      <c r="B46" s="23">
        <f t="shared" ref="B46:K46" si="17">-(B44+B45)*$B$8</f>
        <v>-74134.111729438897</v>
      </c>
      <c r="C46" s="23">
        <f t="shared" si="17"/>
        <v>-75616.79396402766</v>
      </c>
      <c r="D46" s="23">
        <f t="shared" si="17"/>
        <v>-77129.129843308227</v>
      </c>
      <c r="E46" s="23">
        <f t="shared" si="17"/>
        <v>-78671.712440174364</v>
      </c>
      <c r="F46" s="23">
        <f t="shared" si="17"/>
        <v>-80245.146688977868</v>
      </c>
      <c r="G46" s="23">
        <f t="shared" si="17"/>
        <v>-81850.049622757404</v>
      </c>
      <c r="H46" s="23">
        <f t="shared" si="17"/>
        <v>-83487.05061521256</v>
      </c>
      <c r="I46" s="23">
        <f t="shared" si="17"/>
        <v>-85156.791627516825</v>
      </c>
      <c r="J46" s="23">
        <f t="shared" si="17"/>
        <v>-86859.927460067149</v>
      </c>
      <c r="K46" s="24">
        <f t="shared" si="17"/>
        <v>-88597.126009268497</v>
      </c>
      <c r="N46" s="3024"/>
      <c r="O46" s="3025"/>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4"/>
      <c r="O47" s="302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4"/>
      <c r="O48" s="3025"/>
    </row>
    <row r="49" spans="1:18" ht="13.15" customHeight="1">
      <c r="A49" s="22" t="s">
        <v>620</v>
      </c>
      <c r="B49" s="23">
        <f t="shared" ref="B49:K49" si="18">$B$19*(1+$B$6)^(B43-1)</f>
        <v>-684604.44280168903</v>
      </c>
      <c r="C49" s="23">
        <f t="shared" si="18"/>
        <v>-705142.57608573977</v>
      </c>
      <c r="D49" s="23">
        <f t="shared" si="18"/>
        <v>-726296.85336831189</v>
      </c>
      <c r="E49" s="23">
        <f t="shared" si="18"/>
        <v>-748085.7589693612</v>
      </c>
      <c r="F49" s="23">
        <f t="shared" si="18"/>
        <v>-770528.33173844207</v>
      </c>
      <c r="G49" s="23">
        <f t="shared" si="18"/>
        <v>-793644.18169059546</v>
      </c>
      <c r="H49" s="23">
        <f t="shared" si="18"/>
        <v>-817453.50714131317</v>
      </c>
      <c r="I49" s="23">
        <f t="shared" si="18"/>
        <v>-841977.1123555525</v>
      </c>
      <c r="J49" s="23">
        <f t="shared" si="18"/>
        <v>-867236.42572621908</v>
      </c>
      <c r="K49" s="24">
        <f t="shared" si="18"/>
        <v>-893253.51849800569</v>
      </c>
      <c r="N49" s="3024"/>
      <c r="O49" s="302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-59095</v>
      </c>
      <c r="C50" s="23">
        <f>IF(AND('Part VII-Pro Forma'!$G$8="Yes",'Part VII-Pro Forma'!$G$9="Yes"),"Choose One!",IF('Part VII-Pro Forma'!$G$8="Yes",ROUND((-$K$8*(1+'Part VII-Pro Forma'!$B$6)^('Part VII-Pro Forma'!C43-1)),),IF('Part VII-Pro Forma'!$G$9="Yes",ROUND((-(SUM(C44:C47)*'Part VII-Pro Forma'!$K$9)),),"Choose mgt fee")))</f>
        <v>-60277</v>
      </c>
      <c r="D50" s="23">
        <f>IF(AND('Part VII-Pro Forma'!$G$8="Yes",'Part VII-Pro Forma'!$G$9="Yes"),"Choose One!",IF('Part VII-Pro Forma'!$G$8="Yes",ROUND((-$K$8*(1+'Part VII-Pro Forma'!$B$6)^('Part VII-Pro Forma'!D43-1)),),IF('Part VII-Pro Forma'!$G$9="Yes",ROUND((-(SUM(D44:D47)*'Part VII-Pro Forma'!$K$9)),),"Choose mgt fee")))</f>
        <v>-61483</v>
      </c>
      <c r="E50" s="23">
        <f>IF(AND('Part VII-Pro Forma'!$G$8="Yes",'Part VII-Pro Forma'!$G$9="Yes"),"Choose One!",IF('Part VII-Pro Forma'!$G$8="Yes",ROUND((-$K$8*(1+'Part VII-Pro Forma'!$B$6)^('Part VII-Pro Forma'!E43-1)),),IF('Part VII-Pro Forma'!$G$9="Yes",ROUND((-(SUM(E44:E47)*'Part VII-Pro Forma'!$K$9)),),"Choose mgt fee")))</f>
        <v>-62713</v>
      </c>
      <c r="F50" s="23">
        <f>IF(AND('Part VII-Pro Forma'!$G$8="Yes",'Part VII-Pro Forma'!$G$9="Yes"),"Choose One!",IF('Part VII-Pro Forma'!$G$8="Yes",ROUND((-$K$8*(1+'Part VII-Pro Forma'!$B$6)^('Part VII-Pro Forma'!F43-1)),),IF('Part VII-Pro Forma'!$G$9="Yes",ROUND((-(SUM(F44:F47)*'Part VII-Pro Forma'!$K$9)),),"Choose mgt fee")))</f>
        <v>-63967</v>
      </c>
      <c r="G50" s="23">
        <f>IF(AND('Part VII-Pro Forma'!$G$8="Yes",'Part VII-Pro Forma'!$G$9="Yes"),"Choose One!",IF('Part VII-Pro Forma'!$G$8="Yes",ROUND((-$K$8*(1+'Part VII-Pro Forma'!$B$6)^('Part VII-Pro Forma'!G43-1)),),IF('Part VII-Pro Forma'!$G$9="Yes",ROUND((-(SUM(G44:G47)*'Part VII-Pro Forma'!$K$9)),),"Choose mgt fee")))</f>
        <v>-65246</v>
      </c>
      <c r="H50" s="23">
        <f>IF(AND('Part VII-Pro Forma'!$G$8="Yes",'Part VII-Pro Forma'!$G$9="Yes"),"Choose One!",IF('Part VII-Pro Forma'!$G$8="Yes",ROUND((-$K$8*(1+'Part VII-Pro Forma'!$B$6)^('Part VII-Pro Forma'!H43-1)),),IF('Part VII-Pro Forma'!$G$9="Yes",ROUND((-(SUM(H44:H47)*'Part VII-Pro Forma'!$K$9)),),"Choose mgt fee")))</f>
        <v>-66551</v>
      </c>
      <c r="I50" s="23">
        <f>IF(AND('Part VII-Pro Forma'!$G$8="Yes",'Part VII-Pro Forma'!$G$9="Yes"),"Choose One!",IF('Part VII-Pro Forma'!$G$8="Yes",ROUND((-$K$8*(1+'Part VII-Pro Forma'!$B$6)^('Part VII-Pro Forma'!I43-1)),),IF('Part VII-Pro Forma'!$G$9="Yes",ROUND((-(SUM(I44:I47)*'Part VII-Pro Forma'!$K$9)),),"Choose mgt fee")))</f>
        <v>-67882</v>
      </c>
      <c r="J50" s="23">
        <f>IF(AND('Part VII-Pro Forma'!$G$8="Yes",'Part VII-Pro Forma'!$G$9="Yes"),"Choose One!",IF('Part VII-Pro Forma'!$G$8="Yes",ROUND((-$K$8*(1+'Part VII-Pro Forma'!$B$6)^('Part VII-Pro Forma'!J43-1)),),IF('Part VII-Pro Forma'!$G$9="Yes",ROUND((-(SUM(J44:J47)*'Part VII-Pro Forma'!$K$9)),),"Choose mgt fee")))</f>
        <v>-69240</v>
      </c>
      <c r="K50" s="23">
        <f>IF(AND('Part VII-Pro Forma'!$G$8="Yes",'Part VII-Pro Forma'!$G$9="Yes"),"Choose One!",IF('Part VII-Pro Forma'!$G$8="Yes",ROUND((-$K$8*(1+'Part VII-Pro Forma'!$B$6)^('Part VII-Pro Forma'!K43-1)),),IF('Part VII-Pro Forma'!$G$9="Yes",ROUND((-(SUM(K44:K47)*'Part VII-Pro Forma'!$K$9)),),"Choose mgt fee")))</f>
        <v>-70625</v>
      </c>
      <c r="N50" s="3024"/>
      <c r="O50" s="3025"/>
    </row>
    <row r="51" spans="1:18" ht="13.15" customHeight="1">
      <c r="A51" s="22" t="s">
        <v>1214</v>
      </c>
      <c r="B51" s="23">
        <f t="shared" ref="B51:K51" si="19">$B$21*(1+$B$7)^(B43-1)</f>
        <v>-57855.60013076444</v>
      </c>
      <c r="C51" s="23">
        <f t="shared" si="19"/>
        <v>-59591.26813468738</v>
      </c>
      <c r="D51" s="23">
        <f t="shared" si="19"/>
        <v>-61379.006178727992</v>
      </c>
      <c r="E51" s="23">
        <f t="shared" si="19"/>
        <v>-63220.376364089825</v>
      </c>
      <c r="F51" s="23">
        <f t="shared" si="19"/>
        <v>-65116.987655012526</v>
      </c>
      <c r="G51" s="23">
        <f t="shared" si="19"/>
        <v>-67070.49728466291</v>
      </c>
      <c r="H51" s="23">
        <f t="shared" si="19"/>
        <v>-69082.612203202778</v>
      </c>
      <c r="I51" s="23">
        <f t="shared" si="19"/>
        <v>-71155.09056929886</v>
      </c>
      <c r="J51" s="23">
        <f t="shared" si="19"/>
        <v>-73289.743286377838</v>
      </c>
      <c r="K51" s="24">
        <f t="shared" si="19"/>
        <v>-75488.435584969164</v>
      </c>
      <c r="N51" s="3024"/>
      <c r="O51" s="3025"/>
    </row>
    <row r="52" spans="1:18" ht="13.15" customHeight="1">
      <c r="A52" s="22" t="s">
        <v>1215</v>
      </c>
      <c r="B52" s="23">
        <f t="shared" ref="B52:K52" si="20">SUM(B44:B51)</f>
        <v>183369.58433009181</v>
      </c>
      <c r="C52" s="23">
        <f t="shared" si="20"/>
        <v>179612.2755873687</v>
      </c>
      <c r="D52" s="23">
        <f t="shared" si="20"/>
        <v>175556.72265691214</v>
      </c>
      <c r="E52" s="23">
        <f t="shared" si="20"/>
        <v>171190.75851457979</v>
      </c>
      <c r="F52" s="23">
        <f t="shared" si="20"/>
        <v>166501.77233153698</v>
      </c>
      <c r="G52" s="23">
        <f t="shared" si="20"/>
        <v>161475.69458423287</v>
      </c>
      <c r="H52" s="23">
        <f t="shared" si="20"/>
        <v>156097.98168616509</v>
      </c>
      <c r="I52" s="23">
        <f t="shared" si="20"/>
        <v>150354.60012644363</v>
      </c>
      <c r="J52" s="23">
        <f t="shared" si="20"/>
        <v>144230.01009972361</v>
      </c>
      <c r="K52" s="24">
        <f t="shared" si="20"/>
        <v>137709.14861159219</v>
      </c>
      <c r="N52" s="3024"/>
      <c r="O52" s="3025"/>
    </row>
    <row r="53" spans="1:18" ht="13.15" customHeight="1">
      <c r="A53" s="22" t="str">
        <f>$A23</f>
        <v>Mortgage A</v>
      </c>
      <c r="B53" s="2277">
        <f>IF('Part III-Sources of Funds'!$N$37="", 0,-'Part III-Sources of Funds'!$N$37)</f>
        <v>-110374.6336698712</v>
      </c>
      <c r="C53" s="2277">
        <f>IF('Part III-Sources of Funds'!$N$37="", 0,-'Part III-Sources of Funds'!$N$37)</f>
        <v>-110374.6336698712</v>
      </c>
      <c r="D53" s="2277">
        <f>IF('Part III-Sources of Funds'!$N$37="", 0,-'Part III-Sources of Funds'!$N$37)</f>
        <v>-110374.6336698712</v>
      </c>
      <c r="E53" s="2277">
        <f>IF('Part III-Sources of Funds'!$N$37="", 0,-'Part III-Sources of Funds'!$N$37)</f>
        <v>-110374.6336698712</v>
      </c>
      <c r="F53" s="2277">
        <f>IF('Part III-Sources of Funds'!$N$37="", 0,-'Part III-Sources of Funds'!$N$37)</f>
        <v>-110374.6336698712</v>
      </c>
      <c r="G53" s="2277">
        <f>IF('Part III-Sources of Funds'!$N$37="", 0,-'Part III-Sources of Funds'!$N$37)</f>
        <v>-110374.6336698712</v>
      </c>
      <c r="H53" s="2277">
        <f>IF('Part III-Sources of Funds'!$N$37="", 0,-'Part III-Sources of Funds'!$N$37)</f>
        <v>-110374.6336698712</v>
      </c>
      <c r="I53" s="2277">
        <f>IF('Part III-Sources of Funds'!$N$37="", 0,-'Part III-Sources of Funds'!$N$37)</f>
        <v>-110374.6336698712</v>
      </c>
      <c r="J53" s="2277">
        <f>IF('Part III-Sources of Funds'!$N$37="", 0,-'Part III-Sources of Funds'!$N$37)</f>
        <v>-110374.6336698712</v>
      </c>
      <c r="K53" s="2277">
        <f>IF('Part III-Sources of Funds'!$N$37="", 0,-'Part III-Sources of Funds'!$N$37)</f>
        <v>-110374.6336698712</v>
      </c>
      <c r="N53" s="3024"/>
      <c r="O53" s="3025"/>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24"/>
      <c r="O54" s="3025"/>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24"/>
      <c r="O55" s="3025"/>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24"/>
      <c r="O56" s="3025"/>
    </row>
    <row r="57" spans="1:18" ht="13.15" customHeight="1">
      <c r="A57" s="22" t="s">
        <v>771</v>
      </c>
      <c r="B57" s="2279"/>
      <c r="C57" s="2279"/>
      <c r="D57" s="2279"/>
      <c r="E57" s="2279"/>
      <c r="F57" s="2279"/>
      <c r="G57" s="2279"/>
      <c r="H57" s="2279"/>
      <c r="I57" s="2279"/>
      <c r="J57" s="2279"/>
      <c r="K57" s="2279"/>
      <c r="N57" s="3024"/>
      <c r="O57" s="3025"/>
    </row>
    <row r="58" spans="1:18" ht="13.15" customHeight="1">
      <c r="A58" s="435" t="s">
        <v>1174</v>
      </c>
      <c r="B58" s="2283">
        <f>-(10079.3728450809+750)</f>
        <v>-10829.372845080899</v>
      </c>
      <c r="C58" s="2283">
        <f>-(10381.7540304333+750)</f>
        <v>-11131.7540304333</v>
      </c>
      <c r="D58" s="2283">
        <f>-(10693.2066513463+750)</f>
        <v>-11443.2066513463</v>
      </c>
      <c r="E58" s="2283">
        <f>-(11014.0028508867+750)</f>
        <v>-11764.0028508867</v>
      </c>
      <c r="F58" s="2283">
        <f>-(11344.4229364133+750)</f>
        <v>-12094.422936413301</v>
      </c>
      <c r="G58" s="2278">
        <v>-750</v>
      </c>
      <c r="H58" s="2278">
        <v>-750</v>
      </c>
      <c r="I58" s="2278">
        <v>-750</v>
      </c>
      <c r="J58" s="2278">
        <v>-750</v>
      </c>
      <c r="K58" s="2278">
        <v>-750</v>
      </c>
      <c r="N58" s="3024"/>
      <c r="O58" s="3025"/>
      <c r="Q58" s="1040"/>
      <c r="R58" s="1197"/>
    </row>
    <row r="59" spans="1:18" ht="13.15" customHeight="1">
      <c r="A59" s="435" t="s">
        <v>4129</v>
      </c>
      <c r="B59" s="2281"/>
      <c r="C59" s="2281"/>
      <c r="D59" s="2281"/>
      <c r="E59" s="2281"/>
      <c r="F59" s="2281"/>
      <c r="G59" s="2281"/>
      <c r="H59" s="2281"/>
      <c r="I59" s="2281"/>
      <c r="J59" s="2281"/>
      <c r="K59" s="2281"/>
      <c r="N59" s="3024"/>
      <c r="O59" s="3025"/>
    </row>
    <row r="60" spans="1:18" ht="13.15" customHeight="1">
      <c r="A60" s="22" t="s">
        <v>1175</v>
      </c>
      <c r="B60" s="23">
        <f>SUM(B52:B59)</f>
        <v>62165.57781513971</v>
      </c>
      <c r="C60" s="23">
        <f t="shared" ref="C60:K60" si="21">SUM(C52:C59)</f>
        <v>58105.8878870642</v>
      </c>
      <c r="D60" s="23">
        <f t="shared" si="21"/>
        <v>53738.882335694645</v>
      </c>
      <c r="E60" s="23">
        <f t="shared" si="21"/>
        <v>49052.1219938219</v>
      </c>
      <c r="F60" s="23">
        <f t="shared" si="21"/>
        <v>44032.715725252485</v>
      </c>
      <c r="G60" s="23">
        <f t="shared" si="21"/>
        <v>50351.060914361675</v>
      </c>
      <c r="H60" s="23">
        <f t="shared" si="21"/>
        <v>44973.348016293894</v>
      </c>
      <c r="I60" s="23">
        <f t="shared" si="21"/>
        <v>39229.966456572438</v>
      </c>
      <c r="J60" s="23">
        <f t="shared" si="21"/>
        <v>33105.376429852418</v>
      </c>
      <c r="K60" s="23">
        <f t="shared" si="21"/>
        <v>26584.51494172099</v>
      </c>
      <c r="N60" s="3024"/>
      <c r="O60" s="3025"/>
    </row>
    <row r="61" spans="1:18" ht="13.15" customHeight="1">
      <c r="A61" s="22" t="str">
        <f>$A31</f>
        <v>DCR Mortgage A</v>
      </c>
      <c r="B61" s="25">
        <f t="shared" ref="B61:K61" si="22">IF(B53=0,"",-B52/B53)</f>
        <v>1.6613381012755826</v>
      </c>
      <c r="C61" s="25">
        <f t="shared" si="22"/>
        <v>1.6272966859811848</v>
      </c>
      <c r="D61" s="25">
        <f t="shared" si="22"/>
        <v>1.5905531626224876</v>
      </c>
      <c r="E61" s="25">
        <f t="shared" si="22"/>
        <v>1.550997297319316</v>
      </c>
      <c r="F61" s="25">
        <f t="shared" si="22"/>
        <v>1.5085148352975846</v>
      </c>
      <c r="G61" s="25">
        <f t="shared" si="22"/>
        <v>1.4629783059321777</v>
      </c>
      <c r="H61" s="25">
        <f t="shared" si="22"/>
        <v>1.4142559435626461</v>
      </c>
      <c r="I61" s="25">
        <f t="shared" si="22"/>
        <v>1.3622206038404792</v>
      </c>
      <c r="J61" s="25">
        <f t="shared" si="22"/>
        <v>1.3067314953099942</v>
      </c>
      <c r="K61" s="26">
        <f t="shared" si="22"/>
        <v>1.2476521464476893</v>
      </c>
      <c r="N61" s="3024"/>
      <c r="O61" s="3025"/>
    </row>
    <row r="62" spans="1:18" ht="13.15" customHeight="1">
      <c r="A62" s="22" t="str">
        <f>$A32</f>
        <v>DCR Mortgage B</v>
      </c>
      <c r="B62" s="25" t="str">
        <f t="shared" ref="B62:K62" si="23">IF(B54=0,"",-(B52+B53)/B54)</f>
        <v/>
      </c>
      <c r="C62" s="25" t="str">
        <f t="shared" si="23"/>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N62" s="3024"/>
      <c r="O62" s="3025"/>
    </row>
    <row r="63" spans="1:18" ht="13.15" customHeight="1">
      <c r="A63" s="22" t="str">
        <f>$A33</f>
        <v>DCR Mortgage C</v>
      </c>
      <c r="B63" s="25" t="str">
        <f t="shared" ref="B63:K63" si="24">IF(B55=0,"",-(B52+B53+B54)/B55)</f>
        <v/>
      </c>
      <c r="C63" s="25" t="str">
        <f t="shared" si="24"/>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N63" s="3024"/>
      <c r="O63" s="3025"/>
    </row>
    <row r="64" spans="1:18" ht="13.15" customHeight="1">
      <c r="A64" s="22" t="str">
        <f>$A34</f>
        <v>DCR Other Source</v>
      </c>
      <c r="B64" s="25" t="str">
        <f t="shared" ref="B64:K64" si="25">IF(B56=0,"",-(B52+B53+B54+B55)/B56)</f>
        <v/>
      </c>
      <c r="C64" s="25" t="str">
        <f t="shared" si="25"/>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N64" s="3024"/>
      <c r="O64" s="3025"/>
    </row>
    <row r="65" spans="1:15" ht="13.15" customHeight="1">
      <c r="A65" s="435" t="s">
        <v>3739</v>
      </c>
      <c r="B65" s="25">
        <f t="shared" ref="B65:K65" si="26">IF(AND(B53=0,B54=0,B55=0,B56=0),"",-B52/(B53+B54+B55+B56))</f>
        <v>1.6613381012755826</v>
      </c>
      <c r="C65" s="25">
        <f t="shared" si="26"/>
        <v>1.6272966859811848</v>
      </c>
      <c r="D65" s="25">
        <f t="shared" si="26"/>
        <v>1.5905531626224876</v>
      </c>
      <c r="E65" s="25">
        <f t="shared" si="26"/>
        <v>1.550997297319316</v>
      </c>
      <c r="F65" s="25">
        <f t="shared" si="26"/>
        <v>1.5085148352975846</v>
      </c>
      <c r="G65" s="25">
        <f t="shared" si="26"/>
        <v>1.4629783059321777</v>
      </c>
      <c r="H65" s="25">
        <f t="shared" si="26"/>
        <v>1.4142559435626461</v>
      </c>
      <c r="I65" s="25">
        <f t="shared" si="26"/>
        <v>1.3622206038404792</v>
      </c>
      <c r="J65" s="25">
        <f t="shared" si="26"/>
        <v>1.3067314953099942</v>
      </c>
      <c r="K65" s="26">
        <f t="shared" si="26"/>
        <v>1.2476521464476893</v>
      </c>
      <c r="N65" s="3024"/>
      <c r="O65" s="3025"/>
    </row>
    <row r="66" spans="1:15" ht="13.15" customHeight="1">
      <c r="A66" s="22" t="s">
        <v>778</v>
      </c>
      <c r="B66" s="274">
        <f t="shared" ref="B66:K66" si="27">IF(OR(B50="Choose mgt fee",B50="Choose One!"),"",(B44+B45+B46+B47+B48) / -(B49+B50+B51))</f>
        <v>1.2287673016930221</v>
      </c>
      <c r="C66" s="274">
        <f t="shared" si="27"/>
        <v>1.2177089875189322</v>
      </c>
      <c r="D66" s="274">
        <f t="shared" si="27"/>
        <v>1.2067419078104631</v>
      </c>
      <c r="E66" s="274">
        <f t="shared" si="27"/>
        <v>1.1958661447947225</v>
      </c>
      <c r="F66" s="274">
        <f t="shared" si="27"/>
        <v>1.1850816943500702</v>
      </c>
      <c r="G66" s="274">
        <f t="shared" si="27"/>
        <v>1.1743872048248687</v>
      </c>
      <c r="H66" s="274">
        <f t="shared" si="27"/>
        <v>1.1637814408755427</v>
      </c>
      <c r="I66" s="274">
        <f t="shared" si="27"/>
        <v>1.1532644478318133</v>
      </c>
      <c r="J66" s="274">
        <f t="shared" si="27"/>
        <v>1.1428350587748046</v>
      </c>
      <c r="K66" s="275">
        <f t="shared" si="27"/>
        <v>1.1324932912968086</v>
      </c>
      <c r="N66" s="3024"/>
      <c r="O66" s="3025"/>
    </row>
    <row r="67" spans="1:15" ht="13.15" customHeight="1">
      <c r="A67" s="435" t="s">
        <v>2634</v>
      </c>
      <c r="B67" s="2282">
        <f>IF('Part III-Sources of Funds'!$I$37="","",-FV('Part III-Sources of Funds'!$K$37/12,12,B53/12,K37))</f>
        <v>949603.31197446631</v>
      </c>
      <c r="C67" s="2282">
        <f>IF('Part III-Sources of Funds'!$I$37="","",-FV('Part III-Sources of Funds'!$K$37/12,12,C53/12,B67))</f>
        <v>848261.06442645798</v>
      </c>
      <c r="D67" s="2282">
        <f>IF('Part III-Sources of Funds'!$I$37="","",-FV('Part III-Sources of Funds'!$K$37/12,12,D53/12,C67))</f>
        <v>745900.73662336334</v>
      </c>
      <c r="E67" s="2282">
        <f>IF('Part III-Sources of Funds'!$I$37="","",-FV('Part III-Sources of Funds'!$K$37/12,12,E53/12,D67))</f>
        <v>642512.10097075976</v>
      </c>
      <c r="F67" s="2282">
        <f>IF('Part III-Sources of Funds'!$I$37="","",-FV('Part III-Sources of Funds'!$K$37/12,12,F53/12,E67))</f>
        <v>538084.82712821127</v>
      </c>
      <c r="G67" s="2282">
        <f>IF('Part III-Sources of Funds'!$I$37="","",-FV('Part III-Sources of Funds'!$K$37/12,12,G53/12,F67))</f>
        <v>432608.48097708559</v>
      </c>
      <c r="H67" s="2282">
        <f>IF('Part III-Sources of Funds'!$I$37="","",-FV('Part III-Sources of Funds'!$K$37/12,12,H53/12,G67))</f>
        <v>326072.52357800299</v>
      </c>
      <c r="I67" s="2282">
        <f>IF('Part III-Sources of Funds'!$I$37="","",-FV('Part III-Sources of Funds'!$K$37/12,12,I53/12,H67))</f>
        <v>218466.31011781091</v>
      </c>
      <c r="J67" s="2282">
        <f>IF('Part III-Sources of Funds'!$I$37="","",-FV('Part III-Sources of Funds'!$K$37/12,12,J53/12,I67))</f>
        <v>109779.08884598009</v>
      </c>
      <c r="K67" s="2282">
        <f>IF('Part III-Sources of Funds'!$I$37="","",-FV('Part III-Sources of Funds'!$K$37/12,12,K53/12,J67))</f>
        <v>3.1614035833626986E-7</v>
      </c>
      <c r="N67" s="3024"/>
      <c r="O67" s="3025"/>
    </row>
    <row r="68" spans="1:15" ht="13.15" customHeight="1">
      <c r="A68" s="435" t="s">
        <v>2635</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24"/>
      <c r="O68" s="3025"/>
    </row>
    <row r="69" spans="1:15" ht="13.15" customHeight="1">
      <c r="A69" s="435" t="s">
        <v>2636</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24"/>
      <c r="O69" s="3025"/>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24"/>
      <c r="O70" s="3025"/>
    </row>
    <row r="71" spans="1:15" ht="13.15" customHeight="1">
      <c r="A71" s="435" t="s">
        <v>4130</v>
      </c>
      <c r="B71" s="2281">
        <f>IF('Part III-Sources of Funds'!$I$42="","",IF(-FV('Part III-Sources of Funds'!$K$42/12,12,B59/12,K41)&gt;0,-FV('Part III-Sources of Funds'!$K$42/12,12,B59/12,K41),0))</f>
        <v>0</v>
      </c>
      <c r="C71" s="2281">
        <f>IF('Part III-Sources of Funds'!$I$42="","",IF(-FV('Part III-Sources of Funds'!$K$42/12,12,C59/12,B71)&gt;0,-FV('Part III-Sources of Funds'!$K$42/12,12,C59/12,B71),0))</f>
        <v>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75"/>
      <c r="O71" s="307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N73" s="2709" t="s">
        <v>2640</v>
      </c>
      <c r="O73" s="2709"/>
    </row>
    <row r="74" spans="1:15" ht="13.15" customHeight="1">
      <c r="A74" s="19" t="s">
        <v>2420</v>
      </c>
      <c r="B74" s="20">
        <f t="shared" ref="B74:K74" si="29">$B$14*(1+$B$5)^(B73-1)</f>
        <v>1265673.2287038357</v>
      </c>
      <c r="C74" s="20">
        <f t="shared" si="29"/>
        <v>1290986.6932779122</v>
      </c>
      <c r="D74" s="20">
        <f t="shared" si="29"/>
        <v>1316806.4271434706</v>
      </c>
      <c r="E74" s="20">
        <f t="shared" si="29"/>
        <v>1343142.5556863397</v>
      </c>
      <c r="F74" s="20">
        <f t="shared" si="29"/>
        <v>1370005.4068000666</v>
      </c>
      <c r="G74" s="20">
        <f t="shared" si="29"/>
        <v>1397405.5149360679</v>
      </c>
      <c r="H74" s="20">
        <f t="shared" si="29"/>
        <v>1425353.6252347894</v>
      </c>
      <c r="I74" s="20">
        <f t="shared" si="29"/>
        <v>1453860.697739485</v>
      </c>
      <c r="J74" s="20">
        <f t="shared" si="29"/>
        <v>1482937.911694275</v>
      </c>
      <c r="K74" s="21">
        <f t="shared" si="29"/>
        <v>1512596.6699281603</v>
      </c>
      <c r="N74" s="3031"/>
      <c r="O74" s="3032"/>
    </row>
    <row r="75" spans="1:15" ht="13.15" customHeight="1">
      <c r="A75" s="22" t="s">
        <v>1026</v>
      </c>
      <c r="B75" s="23">
        <f t="shared" ref="B75:K75" si="30">$B$15*(1+$B$5)^(B73-1)</f>
        <v>25313.464574076712</v>
      </c>
      <c r="C75" s="23">
        <f t="shared" si="30"/>
        <v>25819.733865558243</v>
      </c>
      <c r="D75" s="23">
        <f t="shared" si="30"/>
        <v>26336.12854286941</v>
      </c>
      <c r="E75" s="23">
        <f t="shared" si="30"/>
        <v>26862.851113726792</v>
      </c>
      <c r="F75" s="23">
        <f t="shared" si="30"/>
        <v>27400.10813600133</v>
      </c>
      <c r="G75" s="23">
        <f t="shared" si="30"/>
        <v>27948.110298721356</v>
      </c>
      <c r="H75" s="23">
        <f t="shared" si="30"/>
        <v>28507.072504695789</v>
      </c>
      <c r="I75" s="23">
        <f t="shared" si="30"/>
        <v>29077.213954789699</v>
      </c>
      <c r="J75" s="23">
        <f t="shared" si="30"/>
        <v>29658.758233885499</v>
      </c>
      <c r="K75" s="24">
        <f t="shared" si="30"/>
        <v>30251.933398563204</v>
      </c>
      <c r="N75" s="3024"/>
      <c r="O75" s="3025"/>
    </row>
    <row r="76" spans="1:15" ht="13.15" customHeight="1">
      <c r="A76" s="22" t="s">
        <v>2421</v>
      </c>
      <c r="B76" s="23">
        <f t="shared" ref="B76:K76" si="31">-(B74+B75)*$B$8</f>
        <v>-90369.068529453885</v>
      </c>
      <c r="C76" s="23">
        <f t="shared" si="31"/>
        <v>-92176.449900042935</v>
      </c>
      <c r="D76" s="23">
        <f t="shared" si="31"/>
        <v>-94019.978898043802</v>
      </c>
      <c r="E76" s="23">
        <f t="shared" si="31"/>
        <v>-95900.378476004669</v>
      </c>
      <c r="F76" s="23">
        <f t="shared" si="31"/>
        <v>-97818.386045524763</v>
      </c>
      <c r="G76" s="23">
        <f t="shared" si="31"/>
        <v>-99774.753766435257</v>
      </c>
      <c r="H76" s="23">
        <f t="shared" si="31"/>
        <v>-101770.24884176397</v>
      </c>
      <c r="I76" s="23">
        <f t="shared" si="31"/>
        <v>-103805.65381859924</v>
      </c>
      <c r="J76" s="23">
        <f t="shared" si="31"/>
        <v>-105881.76689497124</v>
      </c>
      <c r="K76" s="24">
        <f t="shared" si="31"/>
        <v>-107999.40223287065</v>
      </c>
      <c r="N76" s="3024"/>
      <c r="O76" s="3025"/>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4"/>
      <c r="O77" s="302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4"/>
      <c r="O78" s="3025"/>
    </row>
    <row r="79" spans="1:15" ht="13.15" customHeight="1">
      <c r="A79" s="22" t="s">
        <v>620</v>
      </c>
      <c r="B79" s="23">
        <f t="shared" ref="B79:K79" si="32">$B$19*(1+$B$6)^(B73-1)</f>
        <v>-920051.12405294576</v>
      </c>
      <c r="C79" s="23">
        <f t="shared" si="32"/>
        <v>-947652.65777453408</v>
      </c>
      <c r="D79" s="23">
        <f t="shared" si="32"/>
        <v>-976082.23750777019</v>
      </c>
      <c r="E79" s="23">
        <f t="shared" si="32"/>
        <v>-1005364.7046330033</v>
      </c>
      <c r="F79" s="23">
        <f t="shared" si="32"/>
        <v>-1035525.6457719933</v>
      </c>
      <c r="G79" s="23">
        <f t="shared" si="32"/>
        <v>-1066591.4151451532</v>
      </c>
      <c r="H79" s="23">
        <f t="shared" si="32"/>
        <v>-1098589.1575995078</v>
      </c>
      <c r="I79" s="23">
        <f t="shared" si="32"/>
        <v>-1131546.832327493</v>
      </c>
      <c r="J79" s="23">
        <f t="shared" si="32"/>
        <v>-1165493.2372973177</v>
      </c>
      <c r="K79" s="24">
        <f t="shared" si="32"/>
        <v>-1200458.0344162371</v>
      </c>
      <c r="N79" s="3024"/>
      <c r="O79" s="302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-72037</v>
      </c>
      <c r="C80" s="23">
        <f>IF(AND('Part VII-Pro Forma'!$G$8="Yes",'Part VII-Pro Forma'!$G$9="Yes"),"Choose One!",IF('Part VII-Pro Forma'!$G$8="Yes",ROUND((-$K$8*(1+'Part VII-Pro Forma'!$B$6)^('Part VII-Pro Forma'!C73-1)),),IF('Part VII-Pro Forma'!$G$9="Yes",ROUND((-(SUM(C74:C77)*'Part VII-Pro Forma'!$K$9)),),"Choose mgt fee")))</f>
        <v>-73478</v>
      </c>
      <c r="D80" s="23">
        <f>IF(AND('Part VII-Pro Forma'!$G$8="Yes",'Part VII-Pro Forma'!$G$9="Yes"),"Choose One!",IF('Part VII-Pro Forma'!$G$8="Yes",ROUND((-$K$8*(1+'Part VII-Pro Forma'!$B$6)^('Part VII-Pro Forma'!D73-1)),),IF('Part VII-Pro Forma'!$G$9="Yes",ROUND((-(SUM(D74:D77)*'Part VII-Pro Forma'!$K$9)),),"Choose mgt fee")))</f>
        <v>-74947</v>
      </c>
      <c r="E80" s="23">
        <f>IF(AND('Part VII-Pro Forma'!$G$8="Yes",'Part VII-Pro Forma'!$G$9="Yes"),"Choose One!",IF('Part VII-Pro Forma'!$G$8="Yes",ROUND((-$K$8*(1+'Part VII-Pro Forma'!$B$6)^('Part VII-Pro Forma'!E73-1)),),IF('Part VII-Pro Forma'!$G$9="Yes",ROUND((-(SUM(E74:E77)*'Part VII-Pro Forma'!$K$9)),),"Choose mgt fee")))</f>
        <v>-76446</v>
      </c>
      <c r="F80" s="23">
        <f>IF(AND('Part VII-Pro Forma'!$G$8="Yes",'Part VII-Pro Forma'!$G$9="Yes"),"Choose One!",IF('Part VII-Pro Forma'!$G$8="Yes",ROUND((-$K$8*(1+'Part VII-Pro Forma'!$B$6)^('Part VII-Pro Forma'!F73-1)),),IF('Part VII-Pro Forma'!$G$9="Yes",ROUND((-(SUM(F74:F77)*'Part VII-Pro Forma'!$K$9)),),"Choose mgt fee")))</f>
        <v>-77975</v>
      </c>
      <c r="G80" s="23">
        <f>IF(AND('Part VII-Pro Forma'!$G$8="Yes",'Part VII-Pro Forma'!$G$9="Yes"),"Choose One!",IF('Part VII-Pro Forma'!$G$8="Yes",ROUND((-$K$8*(1+'Part VII-Pro Forma'!$B$6)^('Part VII-Pro Forma'!G73-1)),),IF('Part VII-Pro Forma'!$G$9="Yes",ROUND((-(SUM(G74:G77)*'Part VII-Pro Forma'!$K$9)),),"Choose mgt fee")))</f>
        <v>-79535</v>
      </c>
      <c r="H80" s="23">
        <f>IF(AND('Part VII-Pro Forma'!$G$8="Yes",'Part VII-Pro Forma'!$G$9="Yes"),"Choose One!",IF('Part VII-Pro Forma'!$G$8="Yes",ROUND((-$K$8*(1+'Part VII-Pro Forma'!$B$6)^('Part VII-Pro Forma'!H73-1)),),IF('Part VII-Pro Forma'!$G$9="Yes",ROUND((-(SUM(H74:H77)*'Part VII-Pro Forma'!$K$9)),),"Choose mgt fee")))</f>
        <v>-81125</v>
      </c>
      <c r="I80" s="23">
        <f>IF(AND('Part VII-Pro Forma'!$G$8="Yes",'Part VII-Pro Forma'!$G$9="Yes"),"Choose One!",IF('Part VII-Pro Forma'!$G$8="Yes",ROUND((-$K$8*(1+'Part VII-Pro Forma'!$B$6)^('Part VII-Pro Forma'!I73-1)),),IF('Part VII-Pro Forma'!$G$9="Yes",ROUND((-(SUM(I74:I77)*'Part VII-Pro Forma'!$K$9)),),"Choose mgt fee")))</f>
        <v>-82748</v>
      </c>
      <c r="J80" s="23">
        <f>IF(AND('Part VII-Pro Forma'!$G$8="Yes",'Part VII-Pro Forma'!$G$9="Yes"),"Choose One!",IF('Part VII-Pro Forma'!$G$8="Yes",ROUND((-$K$8*(1+'Part VII-Pro Forma'!$B$6)^('Part VII-Pro Forma'!J73-1)),),IF('Part VII-Pro Forma'!$G$9="Yes",ROUND((-(SUM(J74:J77)*'Part VII-Pro Forma'!$K$9)),),"Choose mgt fee")))</f>
        <v>-84403</v>
      </c>
      <c r="K80" s="23">
        <f>IF(AND('Part VII-Pro Forma'!$G$8="Yes",'Part VII-Pro Forma'!$G$9="Yes"),"Choose One!",IF('Part VII-Pro Forma'!$G$8="Yes",ROUND((-$K$8*(1+'Part VII-Pro Forma'!$B$6)^('Part VII-Pro Forma'!K73-1)),),IF('Part VII-Pro Forma'!$G$9="Yes",ROUND((-(SUM(K74:K77)*'Part VII-Pro Forma'!$K$9)),),"Choose mgt fee")))</f>
        <v>-86091</v>
      </c>
      <c r="N80" s="3024"/>
      <c r="O80" s="3025"/>
    </row>
    <row r="81" spans="1:15" ht="13.15" customHeight="1">
      <c r="A81" s="22" t="s">
        <v>1214</v>
      </c>
      <c r="B81" s="23">
        <f t="shared" ref="B81:K81" si="33">$B$21*(1+$B$7)^(B73-1)</f>
        <v>-77753.088652518243</v>
      </c>
      <c r="C81" s="23">
        <f t="shared" si="33"/>
        <v>-80085.681312093773</v>
      </c>
      <c r="D81" s="23">
        <f t="shared" si="33"/>
        <v>-82488.251751456599</v>
      </c>
      <c r="E81" s="23">
        <f t="shared" si="33"/>
        <v>-84962.899304000297</v>
      </c>
      <c r="F81" s="23">
        <f t="shared" si="33"/>
        <v>-87511.786283120295</v>
      </c>
      <c r="G81" s="23">
        <f t="shared" si="33"/>
        <v>-90137.139871613908</v>
      </c>
      <c r="H81" s="23">
        <f t="shared" si="33"/>
        <v>-92841.254067762333</v>
      </c>
      <c r="I81" s="23">
        <f t="shared" si="33"/>
        <v>-95626.491689795192</v>
      </c>
      <c r="J81" s="23">
        <f t="shared" si="33"/>
        <v>-98495.286440489057</v>
      </c>
      <c r="K81" s="24">
        <f t="shared" si="33"/>
        <v>-101450.14503370371</v>
      </c>
      <c r="N81" s="3024"/>
      <c r="O81" s="3025"/>
    </row>
    <row r="82" spans="1:15" ht="13.15" customHeight="1">
      <c r="A82" s="22" t="s">
        <v>1215</v>
      </c>
      <c r="B82" s="23">
        <f t="shared" ref="B82:K82" si="34">SUM(B74:B81)</f>
        <v>130776.41204299462</v>
      </c>
      <c r="C82" s="23">
        <f t="shared" si="34"/>
        <v>123413.63815679957</v>
      </c>
      <c r="D82" s="23">
        <f t="shared" si="34"/>
        <v>115605.08752906944</v>
      </c>
      <c r="E82" s="23">
        <f t="shared" si="34"/>
        <v>107331.42438705837</v>
      </c>
      <c r="F82" s="23">
        <f t="shared" si="34"/>
        <v>98574.696835429393</v>
      </c>
      <c r="G82" s="23">
        <f t="shared" si="34"/>
        <v>89315.316451586928</v>
      </c>
      <c r="H82" s="23">
        <f t="shared" si="34"/>
        <v>79535.037230451082</v>
      </c>
      <c r="I82" s="23">
        <f t="shared" si="34"/>
        <v>69210.933858387376</v>
      </c>
      <c r="J82" s="23">
        <f t="shared" si="34"/>
        <v>58323.379295382474</v>
      </c>
      <c r="K82" s="24">
        <f t="shared" si="34"/>
        <v>46850.021643911896</v>
      </c>
      <c r="N82" s="3024"/>
      <c r="O82" s="3025"/>
    </row>
    <row r="83" spans="1:15" ht="13.15" customHeight="1">
      <c r="A83" s="22" t="str">
        <f>$A53</f>
        <v>Mortgage A</v>
      </c>
      <c r="B83" s="2277"/>
      <c r="C83" s="2277"/>
      <c r="D83" s="2277"/>
      <c r="E83" s="2277"/>
      <c r="F83" s="2277"/>
      <c r="G83" s="2277"/>
      <c r="H83" s="2277"/>
      <c r="I83" s="2277"/>
      <c r="J83" s="2277"/>
      <c r="K83" s="2277"/>
      <c r="N83" s="3024"/>
      <c r="O83" s="3025"/>
    </row>
    <row r="84" spans="1:15" ht="13.15" customHeight="1">
      <c r="A84" s="22" t="str">
        <f>$A54</f>
        <v>Mortgage B</v>
      </c>
      <c r="B84" s="2278"/>
      <c r="C84" s="2278"/>
      <c r="D84" s="2278"/>
      <c r="E84" s="2278"/>
      <c r="F84" s="2278"/>
      <c r="G84" s="2278"/>
      <c r="H84" s="2278"/>
      <c r="I84" s="2278"/>
      <c r="J84" s="2278"/>
      <c r="K84" s="2278"/>
      <c r="N84" s="3024"/>
      <c r="O84" s="3025"/>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24"/>
      <c r="O85" s="3025"/>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24"/>
      <c r="O86" s="3025"/>
    </row>
    <row r="87" spans="1:15" ht="13.15" customHeight="1">
      <c r="A87" s="22" t="s">
        <v>771</v>
      </c>
      <c r="B87" s="2279"/>
      <c r="C87" s="2279"/>
      <c r="D87" s="2279"/>
      <c r="E87" s="2279"/>
      <c r="F87" s="2279"/>
      <c r="G87" s="2279"/>
      <c r="H87" s="2279"/>
      <c r="I87" s="2279"/>
      <c r="J87" s="2279"/>
      <c r="K87" s="2279"/>
      <c r="N87" s="3024"/>
      <c r="O87" s="3025"/>
    </row>
    <row r="88" spans="1:15" ht="13.15" customHeight="1">
      <c r="A88" s="435" t="s">
        <v>1174</v>
      </c>
      <c r="B88" s="2281">
        <f>+K58</f>
        <v>-750</v>
      </c>
      <c r="C88" s="2281">
        <f t="shared" ref="C88:K88" si="35">+B88</f>
        <v>-750</v>
      </c>
      <c r="D88" s="2281">
        <f t="shared" si="35"/>
        <v>-750</v>
      </c>
      <c r="E88" s="2281">
        <f t="shared" si="35"/>
        <v>-750</v>
      </c>
      <c r="F88" s="2281">
        <f t="shared" si="35"/>
        <v>-750</v>
      </c>
      <c r="G88" s="2281">
        <f t="shared" si="35"/>
        <v>-750</v>
      </c>
      <c r="H88" s="2281">
        <f t="shared" si="35"/>
        <v>-750</v>
      </c>
      <c r="I88" s="2281">
        <f t="shared" si="35"/>
        <v>-750</v>
      </c>
      <c r="J88" s="2281">
        <f t="shared" si="35"/>
        <v>-750</v>
      </c>
      <c r="K88" s="2281">
        <f t="shared" si="35"/>
        <v>-750</v>
      </c>
      <c r="N88" s="3024"/>
      <c r="O88" s="3025"/>
    </row>
    <row r="89" spans="1:15" ht="13.15" customHeight="1">
      <c r="A89" s="22" t="s">
        <v>1175</v>
      </c>
      <c r="B89" s="23">
        <f t="shared" ref="B89:K89" si="36">SUM(B82:B88)</f>
        <v>130026.41204299462</v>
      </c>
      <c r="C89" s="23">
        <f t="shared" si="36"/>
        <v>122663.63815679957</v>
      </c>
      <c r="D89" s="23">
        <f t="shared" si="36"/>
        <v>114855.08752906944</v>
      </c>
      <c r="E89" s="23">
        <f t="shared" si="36"/>
        <v>106581.42438705837</v>
      </c>
      <c r="F89" s="23">
        <f t="shared" si="36"/>
        <v>97824.696835429393</v>
      </c>
      <c r="G89" s="23">
        <f t="shared" si="36"/>
        <v>88565.316451586928</v>
      </c>
      <c r="H89" s="23">
        <f t="shared" si="36"/>
        <v>78785.037230451082</v>
      </c>
      <c r="I89" s="23">
        <f t="shared" si="36"/>
        <v>68460.933858387376</v>
      </c>
      <c r="J89" s="23">
        <f t="shared" si="36"/>
        <v>57573.379295382474</v>
      </c>
      <c r="K89" s="24">
        <f t="shared" si="36"/>
        <v>46100.021643911896</v>
      </c>
      <c r="N89" s="3024"/>
      <c r="O89" s="3025"/>
    </row>
    <row r="90" spans="1:15" ht="13.15" customHeight="1">
      <c r="A90" s="22" t="str">
        <f>$A61</f>
        <v>DCR Mortgage A</v>
      </c>
      <c r="B90" s="25" t="str">
        <f>IF(B83=0,"",-B82/B83)</f>
        <v/>
      </c>
      <c r="C90" s="25" t="str">
        <f t="shared" ref="C90:K90" si="37">IF(C83=0,"",-C82/C83)</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N90" s="3024"/>
      <c r="O90" s="3025"/>
    </row>
    <row r="91" spans="1:15" ht="13.15" customHeight="1">
      <c r="A91" s="22" t="str">
        <f>$A62</f>
        <v>DCR Mortgage B</v>
      </c>
      <c r="B91" s="25" t="str">
        <f>IF(B84=0,"",-(B82+B83)/B84)</f>
        <v/>
      </c>
      <c r="C91" s="25" t="str">
        <f t="shared" ref="C91:K91" si="38">IF(C84=0,"",-(C82+C83)/C84)</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N91" s="3024"/>
      <c r="O91" s="3025"/>
    </row>
    <row r="92" spans="1:15" ht="13.15" customHeight="1">
      <c r="A92" s="22" t="str">
        <f>$A63</f>
        <v>DCR Mortgage C</v>
      </c>
      <c r="B92" s="25" t="str">
        <f>IF(B85=0,"",-(B82+B83+B84)/B85)</f>
        <v/>
      </c>
      <c r="C92" s="25" t="str">
        <f t="shared" ref="C92:K92" si="39">IF(C85=0,"",-(C82+C83+C84)/C85)</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N92" s="3024"/>
      <c r="O92" s="3025"/>
    </row>
    <row r="93" spans="1:15" ht="13.15" customHeight="1">
      <c r="A93" s="22" t="str">
        <f>$A64</f>
        <v>DCR Other Source</v>
      </c>
      <c r="B93" s="25" t="str">
        <f>IF(B86=0,"",-(B82+B83+B84+B85)/B86)</f>
        <v/>
      </c>
      <c r="C93" s="25" t="str">
        <f t="shared" ref="C93:K93" si="40">IF(C86=0,"",-(C82+C83+C84+C85)/C86)</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N93" s="3024"/>
      <c r="O93" s="3025"/>
    </row>
    <row r="94" spans="1:15" ht="13.15" customHeight="1">
      <c r="A94" s="435" t="s">
        <v>3739</v>
      </c>
      <c r="B94" s="25" t="str">
        <f>IF(AND(B83=0,B84=0,B85=0,B86=0),"",-B82/(B83+B84+B85+B86))</f>
        <v/>
      </c>
      <c r="C94" s="25" t="str">
        <f t="shared" ref="C94:K94" si="41">IF(AND(C83=0,C84=0,C85=0,C86=0),"",-C82/(C83+C84+C85+C86))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N94" s="3024"/>
      <c r="O94" s="3025"/>
    </row>
    <row r="95" spans="1:15" ht="13.15" customHeight="1">
      <c r="A95" s="22" t="s">
        <v>778</v>
      </c>
      <c r="B95" s="274">
        <f>IF(OR(B80="Choose mgt fee",B80="Choose One!"),"",(B74+B75+B76+B77+B78) / -(B79+B80+B81))</f>
        <v>1.1222390860343481</v>
      </c>
      <c r="C95" s="274">
        <f t="shared" ref="C95:K95" si="42">IF(OR(C80="Choose mgt fee",C80="Choose One!"),"",(C74+C75+C76+C77+C78) / -(C79+C80+C81))</f>
        <v>1.1120702933441411</v>
      </c>
      <c r="D95" s="274">
        <f t="shared" si="42"/>
        <v>1.1019879169262921</v>
      </c>
      <c r="E95" s="274">
        <f t="shared" si="42"/>
        <v>1.0919899319155779</v>
      </c>
      <c r="F95" s="274">
        <f t="shared" si="42"/>
        <v>1.0820763334370762</v>
      </c>
      <c r="G95" s="274">
        <f t="shared" si="42"/>
        <v>1.072246177677199</v>
      </c>
      <c r="H95" s="274">
        <f t="shared" si="42"/>
        <v>1.0625002546067885</v>
      </c>
      <c r="I95" s="274">
        <f t="shared" si="42"/>
        <v>1.0528359471591242</v>
      </c>
      <c r="J95" s="274">
        <f t="shared" si="42"/>
        <v>1.0432540388074432</v>
      </c>
      <c r="K95" s="275">
        <f t="shared" si="42"/>
        <v>1.0337536378533585</v>
      </c>
      <c r="N95" s="3024"/>
      <c r="O95" s="3025"/>
    </row>
    <row r="96" spans="1:15" ht="13.15" customHeight="1">
      <c r="A96" s="435" t="s">
        <v>2634</v>
      </c>
      <c r="B96" s="2282">
        <f>IF('Part III-Sources of Funds'!$I$37="","",-FV('Part III-Sources of Funds'!$K$37/12,12,B83/12,K67))</f>
        <v>3.193162920109753E-7</v>
      </c>
      <c r="C96" s="2282">
        <f>IF('Part III-Sources of Funds'!$I$37="","",-FV('Part III-Sources of Funds'!$K$37/12,12,C83/12,B96))</f>
        <v>3.2252413099115709E-7</v>
      </c>
      <c r="D96" s="2282">
        <f>IF('Part III-Sources of Funds'!$I$37="","",-FV('Part III-Sources of Funds'!$K$37/12,12,D83/12,C96))</f>
        <v>3.2576419579626618E-7</v>
      </c>
      <c r="E96" s="2282">
        <f>IF('Part III-Sources of Funds'!$I$37="","",-FV('Part III-Sources of Funds'!$K$37/12,12,E83/12,D96))</f>
        <v>3.2903681016567928E-7</v>
      </c>
      <c r="F96" s="2282">
        <f>IF('Part III-Sources of Funds'!$I$37="","",-FV('Part III-Sources of Funds'!$K$37/12,12,F83/12,E96))</f>
        <v>3.3234230109104636E-7</v>
      </c>
      <c r="G96" s="2282">
        <f>IF('Part III-Sources of Funds'!$I$37="","",-FV('Part III-Sources of Funds'!$K$37/12,12,G83/12,F96))</f>
        <v>3.3568099884896261E-7</v>
      </c>
      <c r="H96" s="2282">
        <f>IF('Part III-Sources of Funds'!$I$37="","",-FV('Part III-Sources of Funds'!$K$37/12,12,H83/12,G96))</f>
        <v>3.3905323703396898E-7</v>
      </c>
      <c r="I96" s="2282">
        <f>IF('Part III-Sources of Funds'!$I$37="","",-FV('Part III-Sources of Funds'!$K$37/12,12,I83/12,H96))</f>
        <v>3.4245935259188422E-7</v>
      </c>
      <c r="J96" s="2282">
        <f>IF('Part III-Sources of Funds'!$I$37="","",-FV('Part III-Sources of Funds'!$K$37/12,12,J83/12,I96))</f>
        <v>3.4589968585347147E-7</v>
      </c>
      <c r="K96" s="2282">
        <f>IF('Part III-Sources of Funds'!$I$37="","",-FV('Part III-Sources of Funds'!$K$37/12,12,K83/12,J96))</f>
        <v>3.493745805684435E-7</v>
      </c>
      <c r="N96" s="3024"/>
      <c r="O96" s="3025"/>
    </row>
    <row r="97" spans="1:15" ht="13.15" customHeight="1">
      <c r="A97" s="435" t="s">
        <v>2635</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24"/>
      <c r="O97" s="3025"/>
    </row>
    <row r="98" spans="1:15" ht="13.15" customHeight="1">
      <c r="A98" s="435" t="s">
        <v>2636</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24"/>
      <c r="O98" s="3025"/>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75"/>
      <c r="O99" s="307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09" t="s">
        <v>3729</v>
      </c>
      <c r="O101" s="2709"/>
    </row>
    <row r="102" spans="1:15" ht="13.15" customHeight="1">
      <c r="A102" s="19" t="s">
        <v>2420</v>
      </c>
      <c r="B102" s="20">
        <f>$B$14*(1+$B$5)^(B101-1)</f>
        <v>1542848.6033267237</v>
      </c>
      <c r="C102" s="20">
        <f>$B$14*(1+$B$5)^(C101-1)</f>
        <v>1573705.5753932577</v>
      </c>
      <c r="D102" s="20">
        <f>$B$14*(1+$B$5)^(D101-1)</f>
        <v>1605179.6869011233</v>
      </c>
      <c r="E102" s="20">
        <f>$B$14*(1+$B$5)^(E101-1)</f>
        <v>1637283.2806391458</v>
      </c>
      <c r="F102" s="670">
        <f>$B$14*(1+$B$5)^(F101-1)</f>
        <v>1670028.9462519286</v>
      </c>
      <c r="G102" s="18"/>
      <c r="H102" s="18"/>
      <c r="I102" s="18"/>
      <c r="J102" s="18"/>
      <c r="K102" s="18"/>
      <c r="N102" s="3031"/>
      <c r="O102" s="3032"/>
    </row>
    <row r="103" spans="1:15" ht="13.15" customHeight="1">
      <c r="A103" s="22" t="s">
        <v>1026</v>
      </c>
      <c r="B103" s="23">
        <f>$B$15*(1+$B$5)^(B101-1)</f>
        <v>30856.972066534468</v>
      </c>
      <c r="C103" s="23">
        <f>$B$15*(1+$B$5)^(C101-1)</f>
        <v>31474.111507865153</v>
      </c>
      <c r="D103" s="23">
        <f>$B$15*(1+$B$5)^(D101-1)</f>
        <v>32103.59373802246</v>
      </c>
      <c r="E103" s="23">
        <f>$B$15*(1+$B$5)^(E101-1)</f>
        <v>32745.665612782912</v>
      </c>
      <c r="F103" s="24">
        <f>$B$15*(1+$B$5)^(F101-1)</f>
        <v>33400.578925038571</v>
      </c>
      <c r="G103" s="18"/>
      <c r="H103" s="18"/>
      <c r="I103" s="18"/>
      <c r="J103" s="18"/>
      <c r="K103" s="18"/>
      <c r="N103" s="3024"/>
      <c r="O103" s="3025"/>
    </row>
    <row r="104" spans="1:15" ht="13.15" customHeight="1">
      <c r="A104" s="22" t="s">
        <v>2421</v>
      </c>
      <c r="B104" s="23">
        <f>-(B102+B103)*$B$8</f>
        <v>-110159.39027752807</v>
      </c>
      <c r="C104" s="23">
        <f>-(C102+C103)*$B$8</f>
        <v>-112362.57808307861</v>
      </c>
      <c r="D104" s="23">
        <f>-(D102+D103)*$B$8</f>
        <v>-114609.82964474021</v>
      </c>
      <c r="E104" s="23">
        <f>-(E102+E103)*$B$8</f>
        <v>-116902.02623763501</v>
      </c>
      <c r="F104" s="24">
        <f>-(F102+F103)*$B$8</f>
        <v>-119240.06676238771</v>
      </c>
      <c r="G104" s="18"/>
      <c r="H104" s="18"/>
      <c r="I104" s="18"/>
      <c r="J104" s="18"/>
      <c r="K104" s="18"/>
      <c r="N104" s="3024"/>
      <c r="O104" s="3025"/>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4"/>
      <c r="O105" s="302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4"/>
      <c r="O106" s="3025"/>
    </row>
    <row r="107" spans="1:15" ht="13.15" customHeight="1">
      <c r="A107" s="22" t="s">
        <v>620</v>
      </c>
      <c r="B107" s="23">
        <f>$B$19*(1+$B$6)^(B101-1)</f>
        <v>-1236471.7754487242</v>
      </c>
      <c r="C107" s="23">
        <f>$B$19*(1+$B$6)^(C101-1)</f>
        <v>-1273565.9287121862</v>
      </c>
      <c r="D107" s="23">
        <f>$B$19*(1+$B$6)^(D101-1)</f>
        <v>-1311772.9065735515</v>
      </c>
      <c r="E107" s="23">
        <f>$B$19*(1+$B$6)^(E101-1)</f>
        <v>-1351126.093770758</v>
      </c>
      <c r="F107" s="24">
        <f>$B$19*(1+$B$6)^(F101-1)</f>
        <v>-1391659.8765838807</v>
      </c>
      <c r="G107" s="18"/>
      <c r="H107" s="18"/>
      <c r="I107" s="18"/>
      <c r="J107" s="18"/>
      <c r="K107" s="18"/>
      <c r="N107" s="3024"/>
      <c r="O107" s="302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-87813</v>
      </c>
      <c r="C108" s="23">
        <f>IF(AND('Part VII-Pro Forma'!$G$8="Yes",'Part VII-Pro Forma'!$G$9="Yes"),"Choose One!",IF('Part VII-Pro Forma'!$G$8="Yes",ROUND((-$K$8*(1+'Part VII-Pro Forma'!$B$6)^('Part VII-Pro Forma'!C101-1)),),IF('Part VII-Pro Forma'!$G$9="Yes",ROUND((-(SUM(C102:C105)*'Part VII-Pro Forma'!$K$9)),),"Choose mgt fee")))</f>
        <v>-89569</v>
      </c>
      <c r="D108" s="23">
        <f>IF(AND('Part VII-Pro Forma'!$G$8="Yes",'Part VII-Pro Forma'!$G$9="Yes"),"Choose One!",IF('Part VII-Pro Forma'!$G$8="Yes",ROUND((-$K$8*(1+'Part VII-Pro Forma'!$B$6)^('Part VII-Pro Forma'!D101-1)),),IF('Part VII-Pro Forma'!$G$9="Yes",ROUND((-(SUM(D102:D105)*'Part VII-Pro Forma'!$K$9)),),"Choose mgt fee")))</f>
        <v>-91360</v>
      </c>
      <c r="E108" s="23">
        <f>IF(AND('Part VII-Pro Forma'!$G$8="Yes",'Part VII-Pro Forma'!$G$9="Yes"),"Choose One!",IF('Part VII-Pro Forma'!$G$8="Yes",ROUND((-$K$8*(1+'Part VII-Pro Forma'!$B$6)^('Part VII-Pro Forma'!E101-1)),),IF('Part VII-Pro Forma'!$G$9="Yes",ROUND((-(SUM(E102:E105)*'Part VII-Pro Forma'!$K$9)),),"Choose mgt fee")))</f>
        <v>-93188</v>
      </c>
      <c r="F108" s="24">
        <f>IF(AND('Part VII-Pro Forma'!$G$8="Yes",'Part VII-Pro Forma'!$G$9="Yes"),"Choose One!",IF('Part VII-Pro Forma'!$G$8="Yes",ROUND((-$K$8*(1+'Part VII-Pro Forma'!$B$6)^('Part VII-Pro Forma'!F101-1)),),IF('Part VII-Pro Forma'!$G$9="Yes",ROUND((-(SUM(F102:F105)*'Part VII-Pro Forma'!$K$9)),),"Choose mgt fee")))</f>
        <v>-95051</v>
      </c>
      <c r="G108" s="18"/>
      <c r="H108" s="18"/>
      <c r="I108" s="18"/>
      <c r="J108" s="18"/>
      <c r="K108" s="18"/>
      <c r="N108" s="3024"/>
      <c r="O108" s="3025"/>
    </row>
    <row r="109" spans="1:15" ht="13.15" customHeight="1">
      <c r="A109" s="22" t="s">
        <v>1214</v>
      </c>
      <c r="B109" s="23">
        <f>$B$21*(1+$B$7)^(B101-1)</f>
        <v>-104493.64938471482</v>
      </c>
      <c r="C109" s="23">
        <f>$B$21*(1+$B$7)^(C101-1)</f>
        <v>-107628.45886625629</v>
      </c>
      <c r="D109" s="23">
        <f>$B$21*(1+$B$7)^(D101-1)</f>
        <v>-110857.31263224395</v>
      </c>
      <c r="E109" s="23">
        <f>$B$21*(1+$B$7)^(E101-1)</f>
        <v>-114183.03201121128</v>
      </c>
      <c r="F109" s="24">
        <f>$B$21*(1+$B$7)^(F101-1)</f>
        <v>-117608.5229715476</v>
      </c>
      <c r="G109" s="18"/>
      <c r="H109" s="18"/>
      <c r="I109" s="18"/>
      <c r="J109" s="18"/>
      <c r="K109" s="18"/>
      <c r="N109" s="3024"/>
      <c r="O109" s="3025"/>
    </row>
    <row r="110" spans="1:15" ht="13.15" customHeight="1">
      <c r="A110" s="22" t="s">
        <v>1215</v>
      </c>
      <c r="B110" s="23">
        <f>SUM(B102:B109)</f>
        <v>34767.760282291172</v>
      </c>
      <c r="C110" s="23">
        <f>SUM(C102:C109)</f>
        <v>22053.721239601728</v>
      </c>
      <c r="D110" s="23">
        <f>SUM(D102:D109)</f>
        <v>8683.2317886100063</v>
      </c>
      <c r="E110" s="23">
        <f>SUM(E102:E109)</f>
        <v>-5370.2057676756667</v>
      </c>
      <c r="F110" s="24">
        <f>SUM(F102:F109)</f>
        <v>-20129.941140849071</v>
      </c>
      <c r="G110" s="18"/>
      <c r="H110" s="18"/>
      <c r="I110" s="18"/>
      <c r="J110" s="18"/>
      <c r="K110" s="18"/>
      <c r="N110" s="3024"/>
      <c r="O110" s="3025"/>
    </row>
    <row r="111" spans="1:15" ht="13.15" customHeight="1">
      <c r="A111" s="22" t="str">
        <f>$A83</f>
        <v>Mortgage A</v>
      </c>
      <c r="B111" s="2277"/>
      <c r="C111" s="2277"/>
      <c r="D111" s="2277"/>
      <c r="E111" s="2277"/>
      <c r="F111" s="2277"/>
      <c r="G111" s="18"/>
      <c r="H111" s="18"/>
      <c r="I111" s="18"/>
      <c r="J111" s="18"/>
      <c r="K111" s="18"/>
      <c r="N111" s="3024"/>
      <c r="O111" s="3025"/>
    </row>
    <row r="112" spans="1:15" ht="13.15" customHeight="1">
      <c r="A112" s="22" t="str">
        <f>$A84</f>
        <v>Mortgage B</v>
      </c>
      <c r="B112" s="2278"/>
      <c r="C112" s="2278"/>
      <c r="D112" s="2278"/>
      <c r="E112" s="2278"/>
      <c r="F112" s="2278"/>
      <c r="G112" s="18"/>
      <c r="H112" s="18"/>
      <c r="I112" s="18"/>
      <c r="J112" s="18"/>
      <c r="K112" s="18"/>
      <c r="N112" s="3024"/>
      <c r="O112" s="3025"/>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24"/>
      <c r="O113" s="3025"/>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24"/>
      <c r="O114" s="3025"/>
    </row>
    <row r="115" spans="1:15" ht="13.15" customHeight="1">
      <c r="A115" s="22" t="s">
        <v>771</v>
      </c>
      <c r="B115" s="2279"/>
      <c r="C115" s="2279"/>
      <c r="D115" s="2279"/>
      <c r="E115" s="2279"/>
      <c r="F115" s="2279"/>
      <c r="G115" s="18"/>
      <c r="H115" s="18"/>
      <c r="I115" s="18"/>
      <c r="J115" s="18"/>
      <c r="K115" s="18"/>
      <c r="N115" s="3024"/>
      <c r="O115" s="3025"/>
    </row>
    <row r="116" spans="1:15" ht="13.15" customHeight="1">
      <c r="A116" s="22" t="s">
        <v>1174</v>
      </c>
      <c r="B116" s="2281">
        <f>+K88</f>
        <v>-750</v>
      </c>
      <c r="C116" s="2281">
        <f>+B116</f>
        <v>-750</v>
      </c>
      <c r="D116" s="2281">
        <f>+C116</f>
        <v>-750</v>
      </c>
      <c r="E116" s="2281">
        <f>+D116</f>
        <v>-750</v>
      </c>
      <c r="F116" s="2281">
        <f>+E116</f>
        <v>-750</v>
      </c>
      <c r="G116" s="18"/>
      <c r="H116" s="18"/>
      <c r="I116" s="18"/>
      <c r="J116" s="18"/>
      <c r="K116" s="18"/>
      <c r="N116" s="3024"/>
      <c r="O116" s="3025"/>
    </row>
    <row r="117" spans="1:15" ht="13.15" customHeight="1">
      <c r="A117" s="22" t="s">
        <v>1175</v>
      </c>
      <c r="B117" s="23">
        <f>SUM(B110:B116)</f>
        <v>34017.760282291172</v>
      </c>
      <c r="C117" s="23">
        <f>SUM(C110:C116)</f>
        <v>21303.721239601728</v>
      </c>
      <c r="D117" s="23">
        <f>SUM(D110:D116)</f>
        <v>7933.2317886100063</v>
      </c>
      <c r="E117" s="23">
        <f>SUM(E110:E116)</f>
        <v>-6120.2057676756667</v>
      </c>
      <c r="F117" s="24">
        <f>SUM(F110:F116)</f>
        <v>-20879.941140849071</v>
      </c>
      <c r="G117" s="18"/>
      <c r="H117" s="18"/>
      <c r="I117" s="18"/>
      <c r="J117" s="18"/>
      <c r="K117" s="18"/>
      <c r="N117" s="3024"/>
      <c r="O117" s="3025"/>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24"/>
      <c r="O118" s="3025"/>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4"/>
      <c r="O119" s="302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4"/>
      <c r="O120" s="302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4"/>
      <c r="O121" s="3025"/>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24"/>
      <c r="O122" s="3025"/>
    </row>
    <row r="123" spans="1:15" ht="13.15" customHeight="1">
      <c r="A123" s="22" t="s">
        <v>778</v>
      </c>
      <c r="B123" s="274">
        <f>IF(OR(B108="Choose mgt fee",B108="Choose One!"),"",(B102+B103+B104+B105+B106) / -(B107+B108+B109))</f>
        <v>1.0243339062782559</v>
      </c>
      <c r="C123" s="274">
        <f>IF(OR(C108="Choose mgt fee",C108="Choose One!"),"",(C102+C103+C104+C105+C106) / -(C107+C108+C109))</f>
        <v>1.014994744515576</v>
      </c>
      <c r="D123" s="274">
        <f>IF(OR(D108="Choose mgt fee",D108="Choose One!"),"",(D102+D103+D104+D105+D106) / -(D107+D108+D109))</f>
        <v>1.0057353288538187</v>
      </c>
      <c r="E123" s="274">
        <f>IF(OR(E108="Choose mgt fee",E108="Choose One!"),"",(E102+E103+E104+E105+E106) / -(E107+E108+E109))</f>
        <v>0.9965542408267315</v>
      </c>
      <c r="F123" s="671">
        <f>IF(OR(F108="Choose mgt fee",F108="Choose One!"),"",(F102+F103+F104+F105+F106) / -(F107+F108+F109))</f>
        <v>0.98745265989650977</v>
      </c>
      <c r="G123" s="18"/>
      <c r="H123" s="18"/>
      <c r="I123" s="18"/>
      <c r="J123" s="18"/>
      <c r="K123" s="18"/>
      <c r="N123" s="3024"/>
      <c r="O123" s="3025"/>
    </row>
    <row r="124" spans="1:15" ht="13.15" customHeight="1">
      <c r="A124" s="435" t="s">
        <v>2634</v>
      </c>
      <c r="B124" s="2282">
        <f>IF('Part III-Sources of Funds'!$I$37="","",-FV('Part III-Sources of Funds'!$K$37/12,12,B111/12,K96))</f>
        <v>3.5288438393980919E-7</v>
      </c>
      <c r="C124" s="2282">
        <f>IF('Part III-Sources of Funds'!$I$37="","",-FV('Part III-Sources of Funds'!$K$37/12,12,C111/12,B124))</f>
        <v>3.5642944665856534E-7</v>
      </c>
      <c r="D124" s="2282">
        <f>IF('Part III-Sources of Funds'!$I$37="","",-FV('Part III-Sources of Funds'!$K$37/12,12,D111/12,C124))</f>
        <v>3.6001012293873668E-7</v>
      </c>
      <c r="E124" s="2282">
        <f>IF('Part III-Sources of Funds'!$I$37="","",-FV('Part III-Sources of Funds'!$K$37/12,12,E111/12,D124))</f>
        <v>3.6362677055276832E-7</v>
      </c>
      <c r="F124" s="2282">
        <f>IF('Part III-Sources of Funds'!$I$37="","",-FV('Part III-Sources of Funds'!$K$37/12,12,F111/12,E124))</f>
        <v>3.6727975086727321E-7</v>
      </c>
      <c r="G124" s="18"/>
      <c r="H124" s="18"/>
      <c r="I124" s="18"/>
      <c r="J124" s="18"/>
      <c r="K124" s="18"/>
      <c r="N124" s="3024"/>
      <c r="O124" s="3025"/>
    </row>
    <row r="125" spans="1:15" ht="13.15" customHeight="1">
      <c r="A125" s="435" t="s">
        <v>2635</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24"/>
      <c r="O125" s="3025"/>
    </row>
    <row r="126" spans="1:15" ht="13.15" customHeight="1">
      <c r="A126" s="435" t="s">
        <v>2636</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24"/>
      <c r="O126" s="3025"/>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75"/>
      <c r="O127" s="3076"/>
    </row>
    <row r="128" spans="1:15" ht="4.1500000000000004" customHeight="1"/>
    <row r="129" spans="1:18" ht="12" customHeight="1">
      <c r="A129" s="14" t="s">
        <v>576</v>
      </c>
      <c r="B129" s="14"/>
      <c r="G129" s="14" t="s">
        <v>1041</v>
      </c>
    </row>
    <row r="130" spans="1:18" ht="12" customHeight="1">
      <c r="B130" s="32"/>
    </row>
    <row r="131" spans="1:18" ht="409.5" customHeight="1">
      <c r="A131" s="2610" t="s">
        <v>4668</v>
      </c>
      <c r="B131" s="3092"/>
      <c r="C131" s="3092"/>
      <c r="D131" s="3092"/>
      <c r="E131" s="3092"/>
      <c r="F131" s="3093"/>
      <c r="G131" s="3094"/>
      <c r="H131" s="3095"/>
      <c r="I131" s="3095"/>
      <c r="J131" s="3095"/>
      <c r="K131" s="3096"/>
      <c r="N131" s="2811" t="s">
        <v>2710</v>
      </c>
      <c r="O131" s="2811"/>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961M1OpgGbfPBYO7cYeehUKclouAYYD7RlQggQLtZAFlU1S7gE+d2sQvu+L4bMUsDx1Jr+iu1E856+i81uyC0A==" saltValue="nYfo2oBnFo7s5eU4GToHlQ=="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95"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9" t="str">
        <f>CONCATENATE("PART EIGHT - THRESHOLD CRITERIA","  -  ",'Part I-Project Information'!$O$6," ",'Part I-Project Information'!$F$34,", ",'Part I-Project Information'!F38,", ",'Part I-Project Information'!J39," County")</f>
        <v>PART EIGHT - THRESHOLD CRITERIA  -  2018-017 Heritage Village at West Lake, Atlanta, Fulton County</v>
      </c>
      <c r="B1" s="2830"/>
      <c r="C1" s="2830"/>
      <c r="D1" s="2830"/>
      <c r="E1" s="2830"/>
      <c r="F1" s="2830"/>
      <c r="G1" s="2830"/>
      <c r="H1" s="2830"/>
      <c r="I1" s="2830"/>
      <c r="J1" s="2830"/>
      <c r="K1" s="2830"/>
      <c r="L1" s="2830"/>
      <c r="M1" s="2830"/>
      <c r="N1" s="2830"/>
      <c r="O1" s="2830"/>
      <c r="P1" s="2830"/>
      <c r="Q1" s="2830"/>
    </row>
    <row r="2" spans="1:32" s="28" customFormat="1" ht="3" customHeight="1">
      <c r="S2" s="36"/>
      <c r="T2" s="36"/>
      <c r="AE2" s="120"/>
      <c r="AF2" s="120"/>
    </row>
    <row r="3" spans="1:32" ht="13.5" customHeight="1">
      <c r="A3" s="313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6"/>
      <c r="C3" s="3136"/>
      <c r="D3" s="3136"/>
      <c r="E3" s="3136"/>
      <c r="F3" s="3136"/>
      <c r="G3" s="3136"/>
      <c r="H3" s="313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6"/>
      <c r="J3" s="3136"/>
      <c r="K3" s="3136"/>
      <c r="L3" s="3136"/>
      <c r="M3" s="3136"/>
      <c r="N3" s="3137"/>
      <c r="O3" s="3138" t="s">
        <v>944</v>
      </c>
      <c r="P3" s="3139"/>
      <c r="Q3" s="565" t="s">
        <v>1856</v>
      </c>
    </row>
    <row r="4" spans="1:32" ht="3" customHeight="1">
      <c r="A4" s="1585"/>
      <c r="B4" s="3140"/>
      <c r="C4" s="3140"/>
      <c r="D4" s="3140"/>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3143" t="s">
        <v>3874</v>
      </c>
      <c r="K6" s="3143"/>
      <c r="L6" s="3143"/>
      <c r="M6" s="3143"/>
      <c r="N6" s="3143"/>
      <c r="O6" s="3144"/>
      <c r="P6" s="3141"/>
      <c r="Q6" s="3142"/>
    </row>
    <row r="7" spans="1:32" ht="12.6" customHeight="1">
      <c r="A7" s="131" t="s">
        <v>3473</v>
      </c>
      <c r="C7" s="132"/>
      <c r="D7" s="132"/>
      <c r="H7" s="1435"/>
      <c r="I7" s="1435"/>
      <c r="J7" s="1435"/>
      <c r="K7" s="1435"/>
      <c r="L7" s="1435"/>
      <c r="M7" s="1585"/>
      <c r="N7" s="1585"/>
    </row>
    <row r="8" spans="1:32" ht="24.6" customHeight="1">
      <c r="A8" s="3109" t="s">
        <v>1420</v>
      </c>
      <c r="B8" s="3110"/>
      <c r="C8" s="3110"/>
      <c r="D8" s="3110"/>
      <c r="E8" s="3110"/>
      <c r="F8" s="3110"/>
      <c r="G8" s="3110"/>
      <c r="H8" s="3110"/>
      <c r="I8" s="3110"/>
      <c r="J8" s="3110"/>
      <c r="K8" s="3110"/>
      <c r="L8" s="3110"/>
      <c r="M8" s="3110"/>
      <c r="N8" s="3110"/>
      <c r="O8" s="3110"/>
      <c r="P8" s="3110"/>
      <c r="Q8" s="3111"/>
      <c r="R8" s="3082" t="s">
        <v>2047</v>
      </c>
      <c r="S8" s="2435"/>
    </row>
    <row r="9" spans="1:32" ht="24.6" customHeight="1">
      <c r="A9" s="3112" t="s">
        <v>228</v>
      </c>
      <c r="B9" s="3113"/>
      <c r="C9" s="3113"/>
      <c r="D9" s="3113"/>
      <c r="E9" s="3113"/>
      <c r="F9" s="3113"/>
      <c r="G9" s="3113"/>
      <c r="H9" s="3113"/>
      <c r="I9" s="3113"/>
      <c r="J9" s="3113"/>
      <c r="K9" s="3113"/>
      <c r="L9" s="3113"/>
      <c r="M9" s="3113"/>
      <c r="N9" s="3113"/>
      <c r="O9" s="3113"/>
      <c r="P9" s="3113"/>
      <c r="Q9" s="3114"/>
      <c r="R9" s="3082"/>
      <c r="S9" s="2435"/>
    </row>
    <row r="10" spans="1:32" ht="24.6" customHeight="1">
      <c r="A10" s="3112" t="s">
        <v>1416</v>
      </c>
      <c r="B10" s="3113"/>
      <c r="C10" s="3113"/>
      <c r="D10" s="3113"/>
      <c r="E10" s="3113"/>
      <c r="F10" s="3113"/>
      <c r="G10" s="3113"/>
      <c r="H10" s="3113"/>
      <c r="I10" s="3113"/>
      <c r="J10" s="3113"/>
      <c r="K10" s="3113"/>
      <c r="L10" s="3113"/>
      <c r="M10" s="3113"/>
      <c r="N10" s="3113"/>
      <c r="O10" s="3113"/>
      <c r="P10" s="3113"/>
      <c r="Q10" s="3114"/>
      <c r="R10" s="3082"/>
      <c r="S10" s="2435"/>
    </row>
    <row r="11" spans="1:32" ht="24.6" customHeight="1">
      <c r="A11" s="3112" t="s">
        <v>1417</v>
      </c>
      <c r="B11" s="3113"/>
      <c r="C11" s="3113"/>
      <c r="D11" s="3113"/>
      <c r="E11" s="3113"/>
      <c r="F11" s="3113"/>
      <c r="G11" s="3113"/>
      <c r="H11" s="3113"/>
      <c r="I11" s="3113"/>
      <c r="J11" s="3113"/>
      <c r="K11" s="3113"/>
      <c r="L11" s="3113"/>
      <c r="M11" s="3113"/>
      <c r="N11" s="3113"/>
      <c r="O11" s="3113"/>
      <c r="P11" s="3113"/>
      <c r="Q11" s="3114"/>
      <c r="R11" s="3082"/>
      <c r="S11" s="2435"/>
    </row>
    <row r="12" spans="1:32" ht="24" customHeight="1">
      <c r="A12" s="3112" t="s">
        <v>1418</v>
      </c>
      <c r="B12" s="3113"/>
      <c r="C12" s="3113"/>
      <c r="D12" s="3113"/>
      <c r="E12" s="3113"/>
      <c r="F12" s="3113"/>
      <c r="G12" s="3113"/>
      <c r="H12" s="3113"/>
      <c r="I12" s="3113"/>
      <c r="J12" s="3113"/>
      <c r="K12" s="3113"/>
      <c r="L12" s="3113"/>
      <c r="M12" s="3113"/>
      <c r="N12" s="3113"/>
      <c r="O12" s="3113"/>
      <c r="P12" s="3113"/>
      <c r="Q12" s="3114"/>
      <c r="R12" s="1556"/>
      <c r="S12" s="1556"/>
    </row>
    <row r="13" spans="1:32" ht="11.25" customHeight="1">
      <c r="A13" s="3112" t="s">
        <v>1419</v>
      </c>
      <c r="B13" s="3113"/>
      <c r="C13" s="3113"/>
      <c r="D13" s="3113"/>
      <c r="E13" s="3113"/>
      <c r="F13" s="3113"/>
      <c r="G13" s="3113"/>
      <c r="H13" s="3113"/>
      <c r="I13" s="3113"/>
      <c r="J13" s="3113"/>
      <c r="K13" s="3113"/>
      <c r="L13" s="3113"/>
      <c r="M13" s="3113"/>
      <c r="N13" s="3113"/>
      <c r="O13" s="3113"/>
      <c r="P13" s="3113"/>
      <c r="Q13" s="3114"/>
      <c r="R13" s="1556"/>
      <c r="S13" s="1556"/>
    </row>
    <row r="14" spans="1:32" ht="11.25" customHeight="1">
      <c r="A14" s="3112" t="s">
        <v>1421</v>
      </c>
      <c r="B14" s="3113"/>
      <c r="C14" s="3113"/>
      <c r="D14" s="3113"/>
      <c r="E14" s="3113"/>
      <c r="F14" s="3113"/>
      <c r="G14" s="3113"/>
      <c r="H14" s="3113"/>
      <c r="I14" s="3113"/>
      <c r="J14" s="3113"/>
      <c r="K14" s="3113"/>
      <c r="L14" s="3113"/>
      <c r="M14" s="3113"/>
      <c r="N14" s="3113"/>
      <c r="O14" s="3113"/>
      <c r="P14" s="3113"/>
      <c r="Q14" s="3114"/>
    </row>
    <row r="15" spans="1:32" ht="11.25" customHeight="1">
      <c r="A15" s="3112" t="s">
        <v>2034</v>
      </c>
      <c r="B15" s="3113"/>
      <c r="C15" s="3113"/>
      <c r="D15" s="3113"/>
      <c r="E15" s="3113"/>
      <c r="F15" s="3113"/>
      <c r="G15" s="3113"/>
      <c r="H15" s="3113"/>
      <c r="I15" s="3113"/>
      <c r="J15" s="3113"/>
      <c r="K15" s="3113"/>
      <c r="L15" s="3113"/>
      <c r="M15" s="3113"/>
      <c r="N15" s="3113"/>
      <c r="O15" s="3113"/>
      <c r="P15" s="3113"/>
      <c r="Q15" s="3114"/>
      <c r="R15" s="3082" t="s">
        <v>2047</v>
      </c>
      <c r="S15" s="2616"/>
    </row>
    <row r="16" spans="1:32" ht="11.25" customHeight="1">
      <c r="A16" s="3112" t="s">
        <v>2035</v>
      </c>
      <c r="B16" s="3113"/>
      <c r="C16" s="3113"/>
      <c r="D16" s="3113"/>
      <c r="E16" s="3113"/>
      <c r="F16" s="3113"/>
      <c r="G16" s="3113"/>
      <c r="H16" s="3113"/>
      <c r="I16" s="3113"/>
      <c r="J16" s="3113"/>
      <c r="K16" s="3113"/>
      <c r="L16" s="3113"/>
      <c r="M16" s="3113"/>
      <c r="N16" s="3113"/>
      <c r="O16" s="3113"/>
      <c r="P16" s="3113"/>
      <c r="Q16" s="3114"/>
      <c r="R16" s="3082"/>
      <c r="S16" s="2616"/>
    </row>
    <row r="17" spans="1:31" ht="11.25" customHeight="1">
      <c r="A17" s="3112" t="s">
        <v>2036</v>
      </c>
      <c r="B17" s="3113"/>
      <c r="C17" s="3113"/>
      <c r="D17" s="3113"/>
      <c r="E17" s="3113"/>
      <c r="F17" s="3113"/>
      <c r="G17" s="3113"/>
      <c r="H17" s="3113"/>
      <c r="I17" s="3113"/>
      <c r="J17" s="3113"/>
      <c r="K17" s="3113"/>
      <c r="L17" s="3113"/>
      <c r="M17" s="3113"/>
      <c r="N17" s="3113"/>
      <c r="O17" s="3113"/>
      <c r="P17" s="3113"/>
      <c r="Q17" s="3114"/>
      <c r="R17" s="3082"/>
      <c r="S17" s="2616"/>
    </row>
    <row r="18" spans="1:31" ht="11.25" customHeight="1">
      <c r="A18" s="3112" t="s">
        <v>2037</v>
      </c>
      <c r="B18" s="3113"/>
      <c r="C18" s="3113"/>
      <c r="D18" s="3113"/>
      <c r="E18" s="3113"/>
      <c r="F18" s="3113"/>
      <c r="G18" s="3113"/>
      <c r="H18" s="3113"/>
      <c r="I18" s="3113"/>
      <c r="J18" s="3113"/>
      <c r="K18" s="3113"/>
      <c r="L18" s="3113"/>
      <c r="M18" s="3113"/>
      <c r="N18" s="3113"/>
      <c r="O18" s="3113"/>
      <c r="P18" s="3113"/>
      <c r="Q18" s="3114"/>
      <c r="R18" s="3082"/>
      <c r="S18" s="2616"/>
    </row>
    <row r="19" spans="1:31" ht="11.25" customHeight="1">
      <c r="A19" s="3112" t="s">
        <v>2038</v>
      </c>
      <c r="B19" s="3113"/>
      <c r="C19" s="3113"/>
      <c r="D19" s="3113"/>
      <c r="E19" s="3113"/>
      <c r="F19" s="3113"/>
      <c r="G19" s="3113"/>
      <c r="H19" s="3113"/>
      <c r="I19" s="3113"/>
      <c r="J19" s="3113"/>
      <c r="K19" s="3113"/>
      <c r="L19" s="3113"/>
      <c r="M19" s="3113"/>
      <c r="N19" s="3113"/>
      <c r="O19" s="3113"/>
      <c r="P19" s="3113"/>
      <c r="Q19" s="3114"/>
      <c r="R19" s="3082"/>
      <c r="S19" s="2616"/>
    </row>
    <row r="20" spans="1:31" ht="11.25" customHeight="1">
      <c r="A20" s="3112" t="s">
        <v>2039</v>
      </c>
      <c r="B20" s="3113"/>
      <c r="C20" s="3113"/>
      <c r="D20" s="3113"/>
      <c r="E20" s="3113"/>
      <c r="F20" s="3113"/>
      <c r="G20" s="3113"/>
      <c r="H20" s="3113"/>
      <c r="I20" s="3113"/>
      <c r="J20" s="3113"/>
      <c r="K20" s="3113"/>
      <c r="L20" s="3113"/>
      <c r="M20" s="3113"/>
      <c r="N20" s="3113"/>
      <c r="O20" s="3113"/>
      <c r="P20" s="3113"/>
      <c r="Q20" s="3114"/>
      <c r="R20" s="3082"/>
      <c r="S20" s="2616"/>
    </row>
    <row r="21" spans="1:31" ht="11.25" customHeight="1">
      <c r="A21" s="3112" t="s">
        <v>2040</v>
      </c>
      <c r="B21" s="3113"/>
      <c r="C21" s="3113"/>
      <c r="D21" s="3113"/>
      <c r="E21" s="3113"/>
      <c r="F21" s="3113"/>
      <c r="G21" s="3113"/>
      <c r="H21" s="3113"/>
      <c r="I21" s="3113"/>
      <c r="J21" s="3113"/>
      <c r="K21" s="3113"/>
      <c r="L21" s="3113"/>
      <c r="M21" s="3113"/>
      <c r="N21" s="3113"/>
      <c r="O21" s="3113"/>
      <c r="P21" s="3113"/>
      <c r="Q21" s="3114"/>
    </row>
    <row r="22" spans="1:31" ht="11.25" customHeight="1">
      <c r="A22" s="3112" t="s">
        <v>2041</v>
      </c>
      <c r="B22" s="3113"/>
      <c r="C22" s="3113"/>
      <c r="D22" s="3113"/>
      <c r="E22" s="3113"/>
      <c r="F22" s="3113"/>
      <c r="G22" s="3113"/>
      <c r="H22" s="3113"/>
      <c r="I22" s="3113"/>
      <c r="J22" s="3113"/>
      <c r="K22" s="3113"/>
      <c r="L22" s="3113"/>
      <c r="M22" s="3113"/>
      <c r="N22" s="3113"/>
      <c r="O22" s="3113"/>
      <c r="P22" s="3113"/>
      <c r="Q22" s="3114"/>
      <c r="R22" s="3082" t="s">
        <v>2047</v>
      </c>
      <c r="S22" s="2616"/>
    </row>
    <row r="23" spans="1:31" ht="11.25" customHeight="1">
      <c r="A23" s="3112" t="s">
        <v>2042</v>
      </c>
      <c r="B23" s="3113"/>
      <c r="C23" s="3113"/>
      <c r="D23" s="3113"/>
      <c r="E23" s="3113"/>
      <c r="F23" s="3113"/>
      <c r="G23" s="3113"/>
      <c r="H23" s="3113"/>
      <c r="I23" s="3113"/>
      <c r="J23" s="3113"/>
      <c r="K23" s="3113"/>
      <c r="L23" s="3113"/>
      <c r="M23" s="3113"/>
      <c r="N23" s="3113"/>
      <c r="O23" s="3113"/>
      <c r="P23" s="3113"/>
      <c r="Q23" s="3114"/>
      <c r="R23" s="3082"/>
      <c r="S23" s="2616"/>
    </row>
    <row r="24" spans="1:31" ht="11.25" customHeight="1">
      <c r="A24" s="3112" t="s">
        <v>2043</v>
      </c>
      <c r="B24" s="3113"/>
      <c r="C24" s="3113"/>
      <c r="D24" s="3113"/>
      <c r="E24" s="3113"/>
      <c r="F24" s="3113"/>
      <c r="G24" s="3113"/>
      <c r="H24" s="3113"/>
      <c r="I24" s="3113"/>
      <c r="J24" s="3113"/>
      <c r="K24" s="3113"/>
      <c r="L24" s="3113"/>
      <c r="M24" s="3113"/>
      <c r="N24" s="3113"/>
      <c r="O24" s="3113"/>
      <c r="P24" s="3113"/>
      <c r="Q24" s="3114"/>
      <c r="R24" s="3082"/>
      <c r="S24" s="2616"/>
    </row>
    <row r="25" spans="1:31" ht="11.25" customHeight="1">
      <c r="A25" s="3112" t="s">
        <v>2044</v>
      </c>
      <c r="B25" s="3113"/>
      <c r="C25" s="3113"/>
      <c r="D25" s="3113"/>
      <c r="E25" s="3113"/>
      <c r="F25" s="3113"/>
      <c r="G25" s="3113"/>
      <c r="H25" s="3113"/>
      <c r="I25" s="3113"/>
      <c r="J25" s="3113"/>
      <c r="K25" s="3113"/>
      <c r="L25" s="3113"/>
      <c r="M25" s="3113"/>
      <c r="N25" s="3113"/>
      <c r="O25" s="3113"/>
      <c r="P25" s="3113"/>
      <c r="Q25" s="3114"/>
      <c r="R25" s="3082"/>
      <c r="S25" s="2616"/>
    </row>
    <row r="26" spans="1:31" ht="11.25" customHeight="1">
      <c r="A26" s="3112" t="s">
        <v>2045</v>
      </c>
      <c r="B26" s="3113"/>
      <c r="C26" s="3113"/>
      <c r="D26" s="3113"/>
      <c r="E26" s="3113"/>
      <c r="F26" s="3113"/>
      <c r="G26" s="3113"/>
      <c r="H26" s="3113"/>
      <c r="I26" s="3113"/>
      <c r="J26" s="3113"/>
      <c r="K26" s="3113"/>
      <c r="L26" s="3113"/>
      <c r="M26" s="3113"/>
      <c r="N26" s="3113"/>
      <c r="O26" s="3113"/>
      <c r="P26" s="3113"/>
      <c r="Q26" s="3114"/>
      <c r="R26" s="3082"/>
      <c r="S26" s="2616"/>
    </row>
    <row r="27" spans="1:31" ht="11.25" customHeight="1">
      <c r="A27" s="3133" t="s">
        <v>2046</v>
      </c>
      <c r="B27" s="3134"/>
      <c r="C27" s="3134"/>
      <c r="D27" s="3134"/>
      <c r="E27" s="3134"/>
      <c r="F27" s="3134"/>
      <c r="G27" s="3134"/>
      <c r="H27" s="3134"/>
      <c r="I27" s="3134"/>
      <c r="J27" s="3134"/>
      <c r="K27" s="3134"/>
      <c r="L27" s="3134"/>
      <c r="M27" s="3134"/>
      <c r="N27" s="3134"/>
      <c r="O27" s="3134"/>
      <c r="P27" s="3134"/>
      <c r="Q27" s="3135"/>
      <c r="R27" s="3082"/>
      <c r="S27" s="2616"/>
    </row>
    <row r="28" spans="1:31" ht="6" customHeight="1"/>
    <row r="29" spans="1:31" ht="13.9" customHeight="1">
      <c r="A29" s="133" t="s">
        <v>622</v>
      </c>
      <c r="B29" s="134" t="s">
        <v>2668</v>
      </c>
      <c r="C29" s="135"/>
      <c r="D29" s="89"/>
      <c r="E29" s="89"/>
      <c r="F29" s="89"/>
      <c r="G29" s="89"/>
      <c r="I29" s="1589"/>
      <c r="J29" s="1589"/>
      <c r="K29" s="1589"/>
      <c r="L29" s="1585"/>
      <c r="M29" s="1585"/>
      <c r="O29" s="136" t="s">
        <v>1881</v>
      </c>
      <c r="P29" s="3122"/>
      <c r="Q29" s="3123"/>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06" t="s">
        <v>4674</v>
      </c>
      <c r="B32" s="3107"/>
      <c r="C32" s="3107"/>
      <c r="D32" s="3107"/>
      <c r="E32" s="3107"/>
      <c r="F32" s="3107"/>
      <c r="G32" s="3107"/>
      <c r="H32" s="3107"/>
      <c r="I32" s="3107"/>
      <c r="J32" s="3107"/>
      <c r="K32" s="3107"/>
      <c r="L32" s="3107"/>
      <c r="M32" s="3107"/>
      <c r="N32" s="3107"/>
      <c r="O32" s="3107"/>
      <c r="P32" s="3107"/>
      <c r="Q32" s="3108"/>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3124"/>
      <c r="B34" s="3124"/>
      <c r="C34" s="3124"/>
      <c r="D34" s="3124"/>
      <c r="E34" s="3124"/>
      <c r="F34" s="3124"/>
      <c r="G34" s="3124"/>
      <c r="H34" s="3124"/>
      <c r="I34" s="3124"/>
      <c r="J34" s="3124"/>
      <c r="K34" s="3124"/>
      <c r="L34" s="3124"/>
      <c r="M34" s="3124"/>
      <c r="N34" s="3124"/>
      <c r="O34" s="3124"/>
      <c r="P34" s="3124"/>
      <c r="Q34" s="3124"/>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3122"/>
      <c r="Q36" s="3123"/>
    </row>
    <row r="37" spans="1:295" ht="11.25" customHeight="1">
      <c r="A37" s="3125" t="s">
        <v>3474</v>
      </c>
      <c r="B37" s="3125"/>
      <c r="C37" s="3125"/>
      <c r="D37" s="3125"/>
      <c r="E37" s="3125"/>
      <c r="F37" s="3125"/>
      <c r="G37" s="3126" t="s">
        <v>2733</v>
      </c>
      <c r="H37" s="3127"/>
      <c r="I37" s="656"/>
      <c r="J37" s="43"/>
      <c r="K37" s="3128" t="s">
        <v>3660</v>
      </c>
      <c r="L37" s="3129"/>
      <c r="M37" s="3129"/>
      <c r="N37" s="3130"/>
    </row>
    <row r="38" spans="1:295" ht="11.25" customHeight="1">
      <c r="A38" s="3125"/>
      <c r="B38" s="3125"/>
      <c r="C38" s="3125"/>
      <c r="D38" s="3125"/>
      <c r="E38" s="3125"/>
      <c r="F38" s="3125"/>
      <c r="G38" s="3131" t="s">
        <v>348</v>
      </c>
      <c r="H38" s="3132"/>
      <c r="I38" s="656"/>
      <c r="J38" s="43"/>
      <c r="K38" s="3162" t="s">
        <v>3661</v>
      </c>
      <c r="L38" s="3163"/>
      <c r="M38" s="3163"/>
      <c r="N38" s="3164"/>
      <c r="P38" s="545" t="s">
        <v>2753</v>
      </c>
      <c r="Q38" s="2210" t="s">
        <v>3011</v>
      </c>
    </row>
    <row r="39" spans="1:295" ht="4.5" customHeight="1">
      <c r="A39" s="3125"/>
      <c r="B39" s="3125"/>
      <c r="C39" s="3125"/>
      <c r="D39" s="3125"/>
      <c r="E39" s="3125"/>
      <c r="F39" s="3125"/>
      <c r="G39" s="222"/>
      <c r="H39" s="222"/>
      <c r="I39" s="222"/>
      <c r="J39" s="43"/>
      <c r="K39" s="3115"/>
      <c r="L39" s="3115"/>
      <c r="M39" s="3115"/>
      <c r="N39" s="3115"/>
    </row>
    <row r="40" spans="1:295" s="85" customFormat="1" ht="10.5" customHeight="1">
      <c r="D40" s="657" t="s">
        <v>2732</v>
      </c>
      <c r="E40" s="36"/>
      <c r="F40" s="658" t="s">
        <v>3476</v>
      </c>
      <c r="G40" s="3116" t="s">
        <v>3475</v>
      </c>
      <c r="H40" s="3116"/>
      <c r="I40" s="3116"/>
      <c r="J40" s="36"/>
      <c r="K40" s="658" t="s">
        <v>3476</v>
      </c>
      <c r="L40" s="3116" t="s">
        <v>3475</v>
      </c>
      <c r="M40" s="3116"/>
      <c r="N40" s="3116"/>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7" t="s">
        <v>3380</v>
      </c>
      <c r="B41" s="3117"/>
      <c r="C41" s="3117"/>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3196" t="s">
        <v>3922</v>
      </c>
      <c r="Q41" s="3196"/>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7"/>
      <c r="B42" s="3117"/>
      <c r="C42" s="3117"/>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3118" t="str">
        <f>IF('Part I-Project Information'!$F$38="","",VLOOKUP('Part I-Project Information'!$J$39,'DCA Underwriting Assumptions'!$G$155:$N$314,8,FALSE))</f>
        <v>Atlanta</v>
      </c>
      <c r="Q42" s="3119"/>
      <c r="R42" s="422"/>
      <c r="S42" s="3097" t="s">
        <v>4135</v>
      </c>
      <c r="T42" s="3097"/>
      <c r="U42" s="3097"/>
      <c r="V42" s="3097"/>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7"/>
      <c r="B43" s="3117"/>
      <c r="C43" s="3117"/>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3120"/>
      <c r="Q43" s="3121"/>
      <c r="S43" s="3097"/>
      <c r="T43" s="3097"/>
      <c r="U43" s="3097"/>
      <c r="V43" s="3097"/>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7"/>
      <c r="B44" s="3117"/>
      <c r="C44" s="3117"/>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3152" t="s">
        <v>3657</v>
      </c>
      <c r="Q44" s="3152"/>
      <c r="S44" s="3097"/>
      <c r="T44" s="3097"/>
      <c r="U44" s="3097"/>
      <c r="V44" s="3097"/>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3153">
        <f>'Part IV-A-Uses of Funds'!$G$132</f>
        <v>15349522</v>
      </c>
      <c r="Q45" s="3154"/>
      <c r="S45" s="3097"/>
      <c r="T45" s="3097"/>
      <c r="U45" s="3097"/>
      <c r="V45" s="3097"/>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3155"/>
      <c r="Q46" s="3156"/>
      <c r="S46" s="3097"/>
      <c r="T46" s="3097"/>
      <c r="U46" s="3097"/>
      <c r="V46" s="3097"/>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3097"/>
      <c r="T47" s="3097"/>
      <c r="U47" s="3097"/>
      <c r="V47" s="3097"/>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7" t="s">
        <v>3375</v>
      </c>
      <c r="B48" s="3117"/>
      <c r="C48" s="3117"/>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3157" t="s">
        <v>4134</v>
      </c>
      <c r="Q48" s="3157"/>
      <c r="S48" s="3097"/>
      <c r="T48" s="3097"/>
      <c r="U48" s="3097"/>
      <c r="V48" s="3097"/>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7"/>
      <c r="B49" s="3117"/>
      <c r="C49" s="3117"/>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3158"/>
      <c r="Q49" s="3159"/>
      <c r="S49" s="3097"/>
      <c r="T49" s="3097"/>
      <c r="U49" s="3097"/>
      <c r="V49" s="3097"/>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7"/>
      <c r="B50" s="3117"/>
      <c r="C50" s="3117"/>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3160"/>
      <c r="Q50" s="3161"/>
      <c r="R50" s="422"/>
      <c r="S50" s="3097"/>
      <c r="T50" s="3097"/>
      <c r="U50" s="3097"/>
      <c r="V50" s="3097"/>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3145" t="s">
        <v>3655</v>
      </c>
      <c r="Q52" s="3145"/>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3145" t="s">
        <v>3656</v>
      </c>
      <c r="Q56" s="3145"/>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3146" t="s">
        <v>2788</v>
      </c>
      <c r="Q59" s="3146"/>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3146"/>
      <c r="Q60" s="3146"/>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3146"/>
      <c r="Q61" s="3146"/>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95</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95 units = </v>
      </c>
      <c r="I62" s="906">
        <f>F62*G62</f>
        <v>10865910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3147"/>
      <c r="Q62" s="3147"/>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28</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28 units = </v>
      </c>
      <c r="I63" s="906">
        <f>F63*G63</f>
        <v>4483612</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3148">
        <f>IF(P49&gt;1,P49, IF(OR('Part IX A-Scoring Criteria'!$O$67='Part IX A-Scoring Criteria'!$M$67,AND('Part IV-A-Uses of Funds'!$T$165="Yes",'Part IX A-Scoring Criteria'!$O$414&gt;0)),H69+M69,H69))</f>
        <v>15349522</v>
      </c>
      <c r="Q63" s="3149"/>
      <c r="R63" s="3177"/>
      <c r="S63" s="317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3150"/>
      <c r="Q64" s="3151"/>
      <c r="R64" s="3177"/>
      <c r="S64" s="317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3191" t="s">
        <v>4295</v>
      </c>
      <c r="Q65" s="3191"/>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3191"/>
      <c r="Q66" s="3191"/>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123</v>
      </c>
      <c r="G67" s="659"/>
      <c r="H67" s="1199"/>
      <c r="I67" s="1202">
        <f>SUM(I62:I66)</f>
        <v>15349522</v>
      </c>
      <c r="J67" s="1201"/>
      <c r="K67" s="1198">
        <f>SUM(K62:K66)</f>
        <v>0</v>
      </c>
      <c r="L67" s="1201"/>
      <c r="M67" s="1199"/>
      <c r="N67" s="1202">
        <f>SUM(N62:N66)</f>
        <v>0</v>
      </c>
      <c r="O67" s="595"/>
      <c r="P67" s="3191"/>
      <c r="Q67" s="3191"/>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3191"/>
      <c r="Q68" s="3191"/>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123</v>
      </c>
      <c r="G69" s="346"/>
      <c r="H69" s="3195">
        <f>I46+I53+I60+I67</f>
        <v>15349522</v>
      </c>
      <c r="I69" s="3195"/>
      <c r="J69" s="3195"/>
      <c r="K69" s="650">
        <f>K46+K53+K60+K67</f>
        <v>0</v>
      </c>
      <c r="L69" s="651"/>
      <c r="M69" s="3195">
        <f>N46+N53+N60+N67</f>
        <v>0</v>
      </c>
      <c r="N69" s="3195"/>
      <c r="O69" s="3195"/>
      <c r="P69" s="3191"/>
      <c r="Q69" s="3191"/>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3106" t="s">
        <v>4675</v>
      </c>
      <c r="B71" s="3107"/>
      <c r="C71" s="3107"/>
      <c r="D71" s="3107"/>
      <c r="E71" s="3107"/>
      <c r="F71" s="3107"/>
      <c r="G71" s="3107"/>
      <c r="H71" s="3107"/>
      <c r="I71" s="3107"/>
      <c r="J71" s="3108"/>
      <c r="K71" s="3165"/>
      <c r="L71" s="3166"/>
      <c r="M71" s="3166"/>
      <c r="N71" s="3166"/>
      <c r="O71" s="3166"/>
      <c r="P71" s="3166"/>
      <c r="Q71" s="3167"/>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92" t="str">
        <f>'Part I-Project Information'!$H$78</f>
        <v>Other Non-Senior</v>
      </c>
      <c r="K73" s="3193"/>
      <c r="L73" s="3194"/>
      <c r="O73" s="136" t="s">
        <v>1881</v>
      </c>
      <c r="P73" s="3122"/>
      <c r="Q73" s="3123"/>
    </row>
    <row r="74" spans="1:295" ht="10.5" customHeight="1">
      <c r="B74" s="98" t="s">
        <v>3779</v>
      </c>
      <c r="D74" s="98"/>
      <c r="E74" s="98"/>
      <c r="F74" s="98"/>
      <c r="G74" s="98"/>
      <c r="H74" s="41"/>
      <c r="I74" s="1589"/>
      <c r="J74" s="1589"/>
      <c r="K74" s="141" t="s">
        <v>1880</v>
      </c>
      <c r="L74" s="1585"/>
      <c r="M74" s="1585"/>
      <c r="N74" s="1585"/>
      <c r="O74" s="1585"/>
      <c r="P74" s="1585"/>
      <c r="Q74" s="955"/>
    </row>
    <row r="75" spans="1:295" ht="20.45" customHeight="1">
      <c r="A75" s="3106" t="s">
        <v>4651</v>
      </c>
      <c r="B75" s="3107"/>
      <c r="C75" s="3107"/>
      <c r="D75" s="3107"/>
      <c r="E75" s="3107"/>
      <c r="F75" s="3107"/>
      <c r="G75" s="3107"/>
      <c r="H75" s="3107"/>
      <c r="I75" s="3107"/>
      <c r="J75" s="3108"/>
      <c r="K75" s="3165"/>
      <c r="L75" s="3166"/>
      <c r="M75" s="3166"/>
      <c r="N75" s="3166"/>
      <c r="O75" s="3166"/>
      <c r="P75" s="3166"/>
      <c r="Q75" s="3167"/>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3122"/>
      <c r="Q77" s="3123"/>
    </row>
    <row r="78" spans="1:295" ht="1.5" customHeight="1"/>
    <row r="79" spans="1:295" ht="10.5" customHeight="1">
      <c r="A79" s="146" t="s">
        <v>1999</v>
      </c>
      <c r="B79" s="405" t="s">
        <v>3769</v>
      </c>
      <c r="D79" s="1003"/>
      <c r="E79" s="1003"/>
      <c r="F79" s="1003"/>
      <c r="G79" s="1003"/>
      <c r="H79" s="1003"/>
      <c r="I79" s="1003"/>
      <c r="K79" s="1003"/>
      <c r="L79" s="1003"/>
      <c r="M79" s="1004" t="s">
        <v>3723</v>
      </c>
      <c r="O79" s="147"/>
      <c r="P79" s="2210" t="s">
        <v>4604</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79" t="s">
        <v>4664</v>
      </c>
      <c r="K81" s="3180"/>
      <c r="L81" s="3180"/>
      <c r="M81" s="3180"/>
      <c r="N81" s="3180"/>
      <c r="O81" s="3180"/>
      <c r="P81" s="3180"/>
      <c r="Q81" s="3181"/>
    </row>
    <row r="82" spans="1:31" ht="10.9" customHeight="1">
      <c r="A82" s="148"/>
      <c r="B82" s="68" t="s">
        <v>1751</v>
      </c>
      <c r="C82" s="956" t="s">
        <v>3605</v>
      </c>
      <c r="E82" s="1594"/>
      <c r="F82" s="1594"/>
      <c r="G82" s="1594"/>
      <c r="H82" s="34"/>
      <c r="I82" s="37" t="s">
        <v>2723</v>
      </c>
      <c r="J82" s="3182" t="s">
        <v>4652</v>
      </c>
      <c r="K82" s="3183"/>
      <c r="L82" s="3183"/>
      <c r="M82" s="3183"/>
      <c r="N82" s="3183"/>
      <c r="O82" s="3183"/>
      <c r="P82" s="3183"/>
      <c r="Q82" s="3184"/>
    </row>
    <row r="83" spans="1:31" ht="10.9" customHeight="1">
      <c r="A83" s="148"/>
      <c r="B83" s="68" t="s">
        <v>1752</v>
      </c>
      <c r="C83" s="956" t="s">
        <v>3606</v>
      </c>
      <c r="E83" s="1594"/>
      <c r="F83" s="1594"/>
      <c r="G83" s="1594"/>
      <c r="H83" s="34"/>
      <c r="I83" s="37" t="s">
        <v>2723</v>
      </c>
      <c r="J83" s="3182" t="s">
        <v>4605</v>
      </c>
      <c r="K83" s="3183"/>
      <c r="L83" s="3183"/>
      <c r="M83" s="3183"/>
      <c r="N83" s="3183"/>
      <c r="O83" s="3183"/>
      <c r="P83" s="3183"/>
      <c r="Q83" s="3184"/>
    </row>
    <row r="84" spans="1:31" ht="10.9" customHeight="1">
      <c r="A84" s="148"/>
      <c r="B84" s="484" t="s">
        <v>2381</v>
      </c>
      <c r="C84" s="956" t="s">
        <v>3933</v>
      </c>
      <c r="E84" s="1594"/>
      <c r="I84" s="37" t="s">
        <v>2723</v>
      </c>
      <c r="J84" s="3185"/>
      <c r="K84" s="3186"/>
      <c r="L84" s="3186"/>
      <c r="M84" s="3186"/>
      <c r="N84" s="3186"/>
      <c r="O84" s="3186"/>
      <c r="P84" s="3186"/>
      <c r="Q84" s="3187"/>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88"/>
      <c r="M86" s="3189"/>
      <c r="N86" s="3189"/>
      <c r="O86" s="3189"/>
      <c r="P86" s="3190"/>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10.5" customHeight="1">
      <c r="A88" s="3106" t="s">
        <v>4676</v>
      </c>
      <c r="B88" s="3107"/>
      <c r="C88" s="3107"/>
      <c r="D88" s="3107"/>
      <c r="E88" s="3107"/>
      <c r="F88" s="3107"/>
      <c r="G88" s="3107"/>
      <c r="H88" s="3107"/>
      <c r="I88" s="3107"/>
      <c r="J88" s="3108"/>
      <c r="K88" s="3165"/>
      <c r="L88" s="3166"/>
      <c r="M88" s="3166"/>
      <c r="N88" s="3166"/>
      <c r="O88" s="3166"/>
      <c r="P88" s="3166"/>
      <c r="Q88" s="3167"/>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3122"/>
      <c r="Q90" s="3123"/>
    </row>
    <row r="91" spans="1:31" ht="3" customHeight="1"/>
    <row r="92" spans="1:31" ht="10.5" customHeight="1">
      <c r="A92" s="48" t="s">
        <v>1999</v>
      </c>
      <c r="B92" s="149" t="s">
        <v>2476</v>
      </c>
      <c r="D92" s="138"/>
      <c r="E92" s="138"/>
      <c r="F92" s="138"/>
      <c r="G92" s="138"/>
      <c r="H92" s="138"/>
      <c r="I92" s="43"/>
      <c r="J92" s="43"/>
      <c r="K92" s="43"/>
      <c r="L92" s="484" t="s">
        <v>1999</v>
      </c>
      <c r="M92" s="3168" t="s">
        <v>4606</v>
      </c>
      <c r="N92" s="3169"/>
      <c r="O92" s="3169"/>
      <c r="P92" s="3170"/>
      <c r="Q92" s="561"/>
    </row>
    <row r="93" spans="1:31" ht="10.5" customHeight="1">
      <c r="A93" s="48" t="s">
        <v>2001</v>
      </c>
      <c r="B93" s="53" t="s">
        <v>2052</v>
      </c>
      <c r="D93" s="138"/>
      <c r="E93" s="138"/>
      <c r="F93" s="138"/>
      <c r="L93" s="484" t="s">
        <v>2001</v>
      </c>
      <c r="M93" s="3171">
        <v>7</v>
      </c>
      <c r="N93" s="3172"/>
      <c r="O93" s="3172"/>
      <c r="P93" s="3173"/>
      <c r="Q93" s="562"/>
    </row>
    <row r="94" spans="1:31" ht="10.5" customHeight="1">
      <c r="A94" s="48" t="s">
        <v>757</v>
      </c>
      <c r="B94" s="53" t="s">
        <v>2898</v>
      </c>
      <c r="D94" s="138"/>
      <c r="E94" s="138"/>
      <c r="F94" s="138"/>
      <c r="L94" s="484" t="s">
        <v>757</v>
      </c>
      <c r="M94" s="3174">
        <v>0.94</v>
      </c>
      <c r="N94" s="3175"/>
      <c r="O94" s="3175"/>
      <c r="P94" s="3176"/>
      <c r="Q94" s="562"/>
    </row>
    <row r="95" spans="1:31" ht="10.5" customHeight="1">
      <c r="A95" s="48" t="s">
        <v>2131</v>
      </c>
      <c r="B95" s="53" t="s">
        <v>3926</v>
      </c>
      <c r="D95" s="138"/>
      <c r="E95" s="138"/>
      <c r="F95" s="138"/>
      <c r="L95" s="484" t="s">
        <v>3927</v>
      </c>
      <c r="M95" s="2258">
        <v>0.09</v>
      </c>
      <c r="N95" s="1205"/>
      <c r="O95" s="1206" t="s">
        <v>4177</v>
      </c>
      <c r="P95" s="2259"/>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260" t="s">
        <v>4678</v>
      </c>
      <c r="E98" s="3201" t="s">
        <v>4679</v>
      </c>
      <c r="F98" s="3201"/>
      <c r="G98" s="3201"/>
      <c r="H98" s="68" t="s">
        <v>1752</v>
      </c>
      <c r="I98" s="2260" t="s">
        <v>4682</v>
      </c>
      <c r="J98" s="3201" t="s">
        <v>4683</v>
      </c>
      <c r="K98" s="3201"/>
      <c r="L98" s="3201"/>
      <c r="M98" s="67" t="s">
        <v>1561</v>
      </c>
      <c r="N98" s="2260" t="s">
        <v>4686</v>
      </c>
      <c r="O98" s="3201" t="s">
        <v>4687</v>
      </c>
      <c r="P98" s="3201"/>
      <c r="Q98" s="3201"/>
    </row>
    <row r="99" spans="1:31" ht="10.5" customHeight="1">
      <c r="C99" s="68" t="s">
        <v>1751</v>
      </c>
      <c r="D99" s="2261" t="s">
        <v>4680</v>
      </c>
      <c r="E99" s="3202" t="s">
        <v>4681</v>
      </c>
      <c r="F99" s="3202"/>
      <c r="G99" s="3202"/>
      <c r="H99" s="484" t="s">
        <v>2381</v>
      </c>
      <c r="I99" s="2261" t="s">
        <v>4684</v>
      </c>
      <c r="J99" s="3202" t="s">
        <v>4685</v>
      </c>
      <c r="K99" s="3202"/>
      <c r="L99" s="3202"/>
      <c r="M99" s="67" t="s">
        <v>1562</v>
      </c>
      <c r="N99" s="2261"/>
      <c r="O99" s="3202"/>
      <c r="P99" s="3202"/>
      <c r="Q99" s="3202"/>
    </row>
    <row r="100" spans="1:31" ht="10.5" customHeight="1">
      <c r="A100" s="48" t="s">
        <v>1749</v>
      </c>
      <c r="B100" s="53" t="s">
        <v>0</v>
      </c>
      <c r="D100" s="138"/>
      <c r="E100" s="138"/>
      <c r="F100" s="138"/>
      <c r="G100" s="138"/>
      <c r="H100" s="138"/>
      <c r="I100" s="43"/>
      <c r="J100" s="43"/>
      <c r="K100" s="138"/>
      <c r="L100" s="1594"/>
      <c r="M100" s="1594"/>
      <c r="O100" s="484" t="s">
        <v>1749</v>
      </c>
      <c r="P100" s="2207"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3203" t="s">
        <v>3638</v>
      </c>
      <c r="C102" s="3203"/>
      <c r="D102" s="3203"/>
      <c r="E102" s="3203"/>
      <c r="F102" s="3203"/>
      <c r="G102" s="3203"/>
      <c r="H102" s="3203"/>
      <c r="I102" s="3203"/>
      <c r="J102" s="3203"/>
      <c r="K102" s="3203"/>
      <c r="L102" s="3203"/>
      <c r="M102" s="3203"/>
      <c r="N102" s="3203"/>
      <c r="O102" s="3203"/>
      <c r="P102" s="166" t="s">
        <v>1962</v>
      </c>
      <c r="Q102" s="1261"/>
      <c r="R102" s="952"/>
    </row>
    <row r="103" spans="1:31" s="406" customFormat="1" ht="21.75" customHeight="1">
      <c r="A103" s="146" t="s">
        <v>3392</v>
      </c>
      <c r="B103" s="3203" t="s">
        <v>2748</v>
      </c>
      <c r="C103" s="3203"/>
      <c r="D103" s="3203"/>
      <c r="E103" s="3203"/>
      <c r="F103" s="3203"/>
      <c r="G103" s="3203"/>
      <c r="H103" s="3203"/>
      <c r="I103" s="3203"/>
      <c r="J103" s="3203"/>
      <c r="K103" s="3203"/>
      <c r="L103" s="3203"/>
      <c r="M103" s="3203"/>
      <c r="N103" s="3203"/>
      <c r="O103" s="3203"/>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06" t="s">
        <v>4677</v>
      </c>
      <c r="B107" s="3107"/>
      <c r="C107" s="3107"/>
      <c r="D107" s="3107"/>
      <c r="E107" s="3107"/>
      <c r="F107" s="3107"/>
      <c r="G107" s="3107"/>
      <c r="H107" s="3107"/>
      <c r="I107" s="3107"/>
      <c r="J107" s="3107"/>
      <c r="K107" s="3107"/>
      <c r="L107" s="3107"/>
      <c r="M107" s="3107"/>
      <c r="N107" s="3107"/>
      <c r="O107" s="3107"/>
      <c r="P107" s="3107"/>
      <c r="Q107" s="3108"/>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3165"/>
      <c r="B109" s="3166"/>
      <c r="C109" s="3166"/>
      <c r="D109" s="3166"/>
      <c r="E109" s="3166"/>
      <c r="F109" s="3166"/>
      <c r="G109" s="3166"/>
      <c r="H109" s="3166"/>
      <c r="I109" s="3166"/>
      <c r="J109" s="3166"/>
      <c r="K109" s="3166"/>
      <c r="L109" s="3166"/>
      <c r="M109" s="3166"/>
      <c r="N109" s="3166"/>
      <c r="O109" s="3166"/>
      <c r="P109" s="3166"/>
      <c r="Q109" s="3167"/>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3122"/>
      <c r="Q110" s="3123"/>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193" t="s">
        <v>3011</v>
      </c>
      <c r="Q112" s="561"/>
    </row>
    <row r="113" spans="1:32" ht="10.5" customHeight="1">
      <c r="A113" s="48" t="s">
        <v>2001</v>
      </c>
      <c r="B113" s="53" t="s">
        <v>1316</v>
      </c>
      <c r="C113" s="53"/>
      <c r="E113" s="53"/>
      <c r="F113" s="53"/>
      <c r="G113" s="53"/>
      <c r="H113" s="53"/>
      <c r="I113" s="53"/>
      <c r="J113" s="53"/>
      <c r="K113" s="53"/>
      <c r="L113" s="956"/>
      <c r="M113" s="956"/>
      <c r="O113" s="484" t="s">
        <v>2001</v>
      </c>
      <c r="P113" s="2192" t="s">
        <v>3011</v>
      </c>
      <c r="Q113" s="562"/>
    </row>
    <row r="114" spans="1:32" ht="10.5" customHeight="1">
      <c r="A114" s="37"/>
      <c r="C114" s="40" t="s">
        <v>559</v>
      </c>
      <c r="E114" s="43"/>
      <c r="F114" s="43"/>
      <c r="G114" s="43"/>
      <c r="H114" s="43"/>
      <c r="I114" s="43"/>
      <c r="L114" s="68" t="s">
        <v>560</v>
      </c>
      <c r="M114" s="3188" t="s">
        <v>4606</v>
      </c>
      <c r="N114" s="3189"/>
      <c r="O114" s="3189"/>
      <c r="P114" s="3200"/>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193" t="s">
        <v>3011</v>
      </c>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196" t="s">
        <v>3011</v>
      </c>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196" t="s">
        <v>3011</v>
      </c>
      <c r="Q117" s="562"/>
    </row>
    <row r="118" spans="1:32" s="137" customFormat="1" ht="24.75" customHeight="1">
      <c r="A118" s="449"/>
      <c r="B118" s="166" t="s">
        <v>2381</v>
      </c>
      <c r="C118" s="3204" t="s">
        <v>2706</v>
      </c>
      <c r="D118" s="3204"/>
      <c r="E118" s="3204"/>
      <c r="F118" s="3204"/>
      <c r="G118" s="3204"/>
      <c r="H118" s="3204"/>
      <c r="I118" s="3204"/>
      <c r="J118" s="3204"/>
      <c r="K118" s="3204"/>
      <c r="L118" s="3204"/>
      <c r="M118" s="3204"/>
      <c r="N118" s="3204"/>
      <c r="O118" s="166" t="s">
        <v>2381</v>
      </c>
      <c r="P118" s="2262" t="s">
        <v>3011</v>
      </c>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193" t="s">
        <v>3014</v>
      </c>
      <c r="Q121" s="561"/>
    </row>
    <row r="122" spans="1:32" ht="10.5" customHeight="1">
      <c r="B122" s="68" t="s">
        <v>1751</v>
      </c>
      <c r="C122" s="53" t="s">
        <v>1442</v>
      </c>
      <c r="E122" s="53"/>
      <c r="F122" s="53"/>
      <c r="G122" s="53"/>
      <c r="H122" s="53"/>
      <c r="I122" s="53"/>
      <c r="J122" s="53"/>
      <c r="K122" s="53"/>
      <c r="L122" s="956"/>
      <c r="M122" s="956"/>
      <c r="O122" s="68" t="s">
        <v>1751</v>
      </c>
      <c r="P122" s="2196" t="s">
        <v>3014</v>
      </c>
      <c r="Q122" s="562"/>
    </row>
    <row r="123" spans="1:32" ht="10.5" customHeight="1">
      <c r="B123" s="68" t="s">
        <v>1752</v>
      </c>
      <c r="C123" s="53" t="s">
        <v>1443</v>
      </c>
      <c r="E123" s="53"/>
      <c r="F123" s="53"/>
      <c r="G123" s="53"/>
      <c r="H123" s="53"/>
      <c r="I123" s="53"/>
      <c r="J123" s="53"/>
      <c r="K123" s="53"/>
      <c r="L123" s="956"/>
      <c r="M123" s="956"/>
      <c r="O123" s="68" t="s">
        <v>1752</v>
      </c>
      <c r="P123" s="2192" t="s">
        <v>3014</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06" t="s">
        <v>4607</v>
      </c>
      <c r="B125" s="3107"/>
      <c r="C125" s="3107"/>
      <c r="D125" s="3107"/>
      <c r="E125" s="3107"/>
      <c r="F125" s="3107"/>
      <c r="G125" s="3107"/>
      <c r="H125" s="3107"/>
      <c r="I125" s="3107"/>
      <c r="J125" s="3107"/>
      <c r="K125" s="3107"/>
      <c r="L125" s="3107"/>
      <c r="M125" s="3107"/>
      <c r="N125" s="3107"/>
      <c r="O125" s="3107"/>
      <c r="P125" s="3107"/>
      <c r="Q125" s="3108"/>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3165"/>
      <c r="B127" s="3166"/>
      <c r="C127" s="3166"/>
      <c r="D127" s="3166"/>
      <c r="E127" s="3166"/>
      <c r="F127" s="3166"/>
      <c r="G127" s="3166"/>
      <c r="H127" s="3166"/>
      <c r="I127" s="3166"/>
      <c r="J127" s="3166"/>
      <c r="K127" s="3166"/>
      <c r="L127" s="3166"/>
      <c r="M127" s="3166"/>
      <c r="N127" s="3166"/>
      <c r="O127" s="3166"/>
      <c r="P127" s="3166"/>
      <c r="Q127" s="3167"/>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3122"/>
      <c r="Q128" s="3123"/>
    </row>
    <row r="129" spans="1:17" ht="6.6" customHeight="1"/>
    <row r="130" spans="1:17" ht="12" customHeight="1">
      <c r="A130" s="48" t="s">
        <v>1999</v>
      </c>
      <c r="B130" s="53" t="s">
        <v>3662</v>
      </c>
      <c r="D130" s="138"/>
      <c r="E130" s="138"/>
      <c r="F130" s="138"/>
      <c r="G130" s="138"/>
      <c r="H130" s="138"/>
      <c r="I130" s="43"/>
      <c r="J130" s="43"/>
      <c r="K130" s="484" t="s">
        <v>1999</v>
      </c>
      <c r="L130" s="3206" t="s">
        <v>4608</v>
      </c>
      <c r="M130" s="3206"/>
      <c r="N130" s="3206"/>
      <c r="O130" s="3206"/>
      <c r="P130" s="3206"/>
      <c r="Q130" s="560"/>
    </row>
    <row r="131" spans="1:17" ht="12" customHeight="1">
      <c r="A131" s="48" t="s">
        <v>2001</v>
      </c>
      <c r="B131" s="53" t="s">
        <v>1550</v>
      </c>
      <c r="D131" s="138"/>
      <c r="E131" s="138"/>
      <c r="F131" s="138"/>
      <c r="G131" s="138"/>
      <c r="H131" s="138"/>
      <c r="I131" s="43"/>
      <c r="J131" s="43"/>
      <c r="K131" s="138"/>
      <c r="L131" s="1594"/>
      <c r="O131" s="484" t="s">
        <v>2001</v>
      </c>
      <c r="P131" s="2208" t="s">
        <v>3014</v>
      </c>
      <c r="Q131" s="1005"/>
    </row>
    <row r="132" spans="1:17" ht="12" customHeight="1">
      <c r="A132" s="48" t="s">
        <v>757</v>
      </c>
      <c r="B132" s="53" t="s">
        <v>152</v>
      </c>
      <c r="D132" s="138"/>
      <c r="E132" s="138"/>
      <c r="F132" s="138"/>
      <c r="G132" s="138"/>
      <c r="H132" s="138"/>
      <c r="I132" s="43"/>
      <c r="J132" s="43"/>
      <c r="K132" s="1594"/>
      <c r="L132" s="1594"/>
      <c r="O132" s="484" t="s">
        <v>757</v>
      </c>
      <c r="P132" s="2192" t="s">
        <v>3011</v>
      </c>
      <c r="Q132" s="962"/>
    </row>
    <row r="133" spans="1:17" ht="12" customHeight="1">
      <c r="A133" s="48"/>
      <c r="B133" s="67" t="s">
        <v>1750</v>
      </c>
      <c r="C133" s="53" t="s">
        <v>2705</v>
      </c>
      <c r="E133" s="138"/>
      <c r="F133" s="138"/>
      <c r="G133" s="138"/>
      <c r="H133" s="138"/>
      <c r="I133" s="43"/>
      <c r="J133" s="43"/>
      <c r="K133" s="68" t="s">
        <v>1750</v>
      </c>
      <c r="L133" s="3206" t="s">
        <v>4609</v>
      </c>
      <c r="M133" s="3206"/>
      <c r="N133" s="3206"/>
      <c r="O133" s="3206"/>
      <c r="P133" s="3206"/>
      <c r="Q133" s="560"/>
    </row>
    <row r="134" spans="1:17" ht="12" customHeight="1">
      <c r="A134" s="143"/>
      <c r="B134" s="68" t="s">
        <v>1751</v>
      </c>
      <c r="C134" s="37" t="s">
        <v>3496</v>
      </c>
      <c r="E134" s="43"/>
      <c r="F134" s="43"/>
      <c r="G134" s="43"/>
      <c r="H134" s="53"/>
      <c r="I134" s="43"/>
      <c r="J134" s="43"/>
      <c r="K134" s="138"/>
      <c r="L134" s="1594"/>
      <c r="M134" s="1594"/>
      <c r="O134" s="484" t="s">
        <v>1751</v>
      </c>
      <c r="P134" s="2207">
        <v>61</v>
      </c>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5"/>
      <c r="B136" s="68"/>
      <c r="C136" s="3205" t="s">
        <v>4653</v>
      </c>
      <c r="D136" s="3205"/>
      <c r="E136" s="3205"/>
      <c r="F136" s="3205"/>
      <c r="G136" s="3205"/>
      <c r="H136" s="3205"/>
      <c r="I136" s="3205"/>
      <c r="J136" s="3205"/>
      <c r="K136" s="3205"/>
      <c r="L136" s="3205"/>
      <c r="M136" s="3205"/>
      <c r="N136" s="3205"/>
      <c r="O136" s="3205"/>
      <c r="P136" s="3205"/>
      <c r="Q136" s="3205"/>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193" t="s">
        <v>3014</v>
      </c>
      <c r="Q138" s="561"/>
    </row>
    <row r="139" spans="1:17" ht="12" customHeight="1">
      <c r="A139" s="48"/>
      <c r="B139" s="68" t="s">
        <v>1751</v>
      </c>
      <c r="C139" s="53" t="s">
        <v>1273</v>
      </c>
      <c r="E139" s="138"/>
      <c r="F139" s="138"/>
      <c r="G139" s="138"/>
      <c r="H139" s="43"/>
      <c r="I139" s="43"/>
      <c r="J139" s="43"/>
      <c r="K139" s="138"/>
      <c r="L139" s="1594"/>
      <c r="M139" s="1594"/>
      <c r="O139" s="68" t="s">
        <v>1751</v>
      </c>
      <c r="P139" s="2196"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263"/>
      <c r="Q140" s="909"/>
    </row>
    <row r="141" spans="1:17" ht="12" customHeight="1">
      <c r="A141" s="48"/>
      <c r="B141" s="68"/>
      <c r="E141" s="484" t="s">
        <v>2452</v>
      </c>
      <c r="F141" s="53" t="s">
        <v>2651</v>
      </c>
      <c r="G141" s="43"/>
      <c r="H141" s="53"/>
      <c r="I141" s="43"/>
      <c r="J141" s="43"/>
      <c r="K141" s="138"/>
      <c r="L141" s="1594"/>
      <c r="M141" s="1594"/>
      <c r="O141" s="484" t="s">
        <v>2452</v>
      </c>
      <c r="P141" s="2196"/>
      <c r="Q141" s="562"/>
    </row>
    <row r="142" spans="1:17" ht="12" customHeight="1">
      <c r="A142" s="48"/>
      <c r="B142" s="68"/>
      <c r="E142" s="484" t="s">
        <v>2453</v>
      </c>
      <c r="F142" s="53" t="s">
        <v>2652</v>
      </c>
      <c r="G142" s="43"/>
      <c r="H142" s="53"/>
      <c r="I142" s="43"/>
      <c r="J142" s="43"/>
      <c r="K142" s="138"/>
      <c r="L142" s="1594"/>
      <c r="M142" s="1594"/>
      <c r="O142" s="484" t="s">
        <v>2453</v>
      </c>
      <c r="P142" s="2196"/>
      <c r="Q142" s="562"/>
    </row>
    <row r="143" spans="1:17" ht="12" customHeight="1">
      <c r="A143" s="48"/>
      <c r="B143" s="68" t="s">
        <v>1752</v>
      </c>
      <c r="C143" s="53" t="s">
        <v>1274</v>
      </c>
      <c r="E143" s="138"/>
      <c r="F143" s="138"/>
      <c r="G143" s="138"/>
      <c r="H143" s="53"/>
      <c r="I143" s="43"/>
      <c r="J143" s="43"/>
      <c r="K143" s="138"/>
      <c r="L143" s="1594"/>
      <c r="M143" s="1594"/>
      <c r="O143" s="68" t="s">
        <v>1752</v>
      </c>
      <c r="P143" s="2196" t="s">
        <v>3014</v>
      </c>
      <c r="Q143" s="562"/>
    </row>
    <row r="144" spans="1:17" ht="12" customHeight="1">
      <c r="A144" s="48"/>
      <c r="B144" s="68"/>
      <c r="C144" s="53" t="s">
        <v>2649</v>
      </c>
      <c r="E144" s="484" t="s">
        <v>2451</v>
      </c>
      <c r="F144" s="53" t="s">
        <v>2653</v>
      </c>
      <c r="G144" s="43"/>
      <c r="H144" s="53"/>
      <c r="I144" s="43"/>
      <c r="J144" s="43"/>
      <c r="K144" s="138"/>
      <c r="L144" s="1594"/>
      <c r="O144" s="484" t="s">
        <v>2451</v>
      </c>
      <c r="P144" s="2263"/>
      <c r="Q144" s="909"/>
    </row>
    <row r="145" spans="1:18" ht="12" customHeight="1">
      <c r="A145" s="48"/>
      <c r="B145" s="68"/>
      <c r="E145" s="484" t="s">
        <v>2452</v>
      </c>
      <c r="F145" s="53" t="s">
        <v>2654</v>
      </c>
      <c r="G145" s="43"/>
      <c r="H145" s="53"/>
      <c r="I145" s="43"/>
      <c r="J145" s="43"/>
      <c r="O145" s="484" t="s">
        <v>2452</v>
      </c>
      <c r="P145" s="2196"/>
      <c r="Q145" s="562"/>
    </row>
    <row r="146" spans="1:18" ht="12" customHeight="1">
      <c r="A146" s="48"/>
      <c r="B146" s="68"/>
      <c r="E146" s="484" t="s">
        <v>2453</v>
      </c>
      <c r="F146" s="53" t="s">
        <v>2652</v>
      </c>
      <c r="G146" s="43"/>
      <c r="H146" s="53"/>
      <c r="I146" s="43"/>
      <c r="J146" s="43"/>
      <c r="O146" s="484" t="s">
        <v>2453</v>
      </c>
      <c r="P146" s="2196"/>
      <c r="Q146" s="562"/>
    </row>
    <row r="147" spans="1:18" ht="12" customHeight="1">
      <c r="A147" s="37"/>
      <c r="B147" s="68" t="s">
        <v>2381</v>
      </c>
      <c r="C147" s="53" t="s">
        <v>2655</v>
      </c>
      <c r="E147" s="138"/>
      <c r="F147" s="138"/>
      <c r="G147" s="138"/>
      <c r="H147" s="138"/>
      <c r="I147" s="43"/>
      <c r="J147" s="43"/>
      <c r="O147" s="68" t="s">
        <v>2381</v>
      </c>
      <c r="P147" s="2192"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193" t="s">
        <v>3011</v>
      </c>
      <c r="G149" s="561"/>
      <c r="H149" s="68" t="s">
        <v>1561</v>
      </c>
      <c r="I149" s="56" t="s">
        <v>2657</v>
      </c>
      <c r="L149" s="2193" t="s">
        <v>3014</v>
      </c>
      <c r="M149" s="561"/>
      <c r="N149" s="484" t="s">
        <v>517</v>
      </c>
      <c r="O149" s="53" t="s">
        <v>1564</v>
      </c>
      <c r="P149" s="2193" t="s">
        <v>3011</v>
      </c>
      <c r="Q149" s="561"/>
    </row>
    <row r="150" spans="1:18" ht="12" customHeight="1">
      <c r="A150" s="37"/>
      <c r="B150" s="68" t="s">
        <v>1751</v>
      </c>
      <c r="C150" s="53" t="s">
        <v>2821</v>
      </c>
      <c r="E150" s="138"/>
      <c r="F150" s="2196" t="s">
        <v>3014</v>
      </c>
      <c r="G150" s="562"/>
      <c r="H150" s="68" t="s">
        <v>1562</v>
      </c>
      <c r="I150" s="56" t="s">
        <v>2658</v>
      </c>
      <c r="L150" s="2196" t="s">
        <v>3014</v>
      </c>
      <c r="M150" s="562"/>
      <c r="N150" s="484" t="s">
        <v>518</v>
      </c>
      <c r="O150" s="53" t="s">
        <v>1563</v>
      </c>
      <c r="P150" s="2196" t="s">
        <v>3014</v>
      </c>
      <c r="Q150" s="562"/>
    </row>
    <row r="151" spans="1:18" ht="12" customHeight="1">
      <c r="A151" s="37"/>
      <c r="B151" s="68" t="s">
        <v>1752</v>
      </c>
      <c r="C151" s="53" t="s">
        <v>2656</v>
      </c>
      <c r="E151" s="138"/>
      <c r="F151" s="2196" t="s">
        <v>3014</v>
      </c>
      <c r="G151" s="562"/>
      <c r="H151" s="484" t="s">
        <v>99</v>
      </c>
      <c r="I151" s="56" t="s">
        <v>3875</v>
      </c>
      <c r="L151" s="2196" t="s">
        <v>3014</v>
      </c>
      <c r="M151" s="562"/>
      <c r="N151" s="484" t="s">
        <v>2823</v>
      </c>
      <c r="O151" s="53" t="s">
        <v>1565</v>
      </c>
      <c r="P151" s="2192" t="s">
        <v>3014</v>
      </c>
      <c r="Q151" s="563"/>
    </row>
    <row r="152" spans="1:18" ht="12" customHeight="1">
      <c r="A152" s="37"/>
      <c r="B152" s="68" t="s">
        <v>2381</v>
      </c>
      <c r="C152" s="53" t="s">
        <v>2824</v>
      </c>
      <c r="E152" s="138"/>
      <c r="F152" s="2192" t="s">
        <v>3014</v>
      </c>
      <c r="G152" s="563"/>
      <c r="H152" s="484" t="s">
        <v>516</v>
      </c>
      <c r="I152" s="53" t="s">
        <v>2820</v>
      </c>
      <c r="L152" s="2192" t="s">
        <v>3011</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205"/>
      <c r="D154" s="3205"/>
      <c r="E154" s="3205"/>
      <c r="F154" s="3205"/>
      <c r="G154" s="3205"/>
      <c r="H154" s="3205"/>
      <c r="I154" s="3205"/>
      <c r="J154" s="3205"/>
      <c r="K154" s="3205"/>
      <c r="L154" s="3205"/>
      <c r="M154" s="3205"/>
      <c r="N154" s="3205"/>
      <c r="O154" s="3205"/>
      <c r="P154" s="3205"/>
      <c r="Q154" s="3205"/>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193" t="s">
        <v>3014</v>
      </c>
      <c r="Q156" s="561"/>
    </row>
    <row r="157" spans="1:18" ht="12" customHeight="1">
      <c r="A157" s="1589"/>
      <c r="B157" s="68" t="s">
        <v>1751</v>
      </c>
      <c r="C157" s="53" t="s">
        <v>495</v>
      </c>
      <c r="E157" s="53"/>
      <c r="F157" s="53"/>
      <c r="G157" s="53"/>
      <c r="H157" s="53"/>
      <c r="I157" s="43"/>
      <c r="J157" s="43"/>
      <c r="K157" s="53"/>
      <c r="L157" s="53"/>
      <c r="M157" s="53"/>
      <c r="O157" s="68" t="s">
        <v>1751</v>
      </c>
      <c r="P157" s="2196" t="s">
        <v>3011</v>
      </c>
      <c r="Q157" s="562"/>
    </row>
    <row r="158" spans="1:18" ht="12" customHeight="1">
      <c r="A158" s="1589"/>
      <c r="B158" s="68" t="s">
        <v>1752</v>
      </c>
      <c r="C158" s="53" t="s">
        <v>687</v>
      </c>
      <c r="E158" s="53"/>
      <c r="F158" s="53"/>
      <c r="G158" s="53"/>
      <c r="H158" s="53"/>
      <c r="I158" s="43"/>
      <c r="J158" s="43"/>
      <c r="K158" s="53"/>
      <c r="L158" s="53"/>
      <c r="M158" s="53"/>
      <c r="O158" s="68" t="s">
        <v>1752</v>
      </c>
      <c r="P158" s="2196" t="s">
        <v>3011</v>
      </c>
      <c r="Q158" s="562"/>
    </row>
    <row r="159" spans="1:18" ht="12" customHeight="1">
      <c r="A159" s="48" t="s">
        <v>1962</v>
      </c>
      <c r="B159" s="53" t="s">
        <v>1766</v>
      </c>
      <c r="D159" s="138"/>
      <c r="E159" s="138"/>
      <c r="F159" s="138"/>
      <c r="G159" s="138"/>
      <c r="H159" s="138"/>
      <c r="I159" s="43"/>
      <c r="J159" s="43"/>
      <c r="K159" s="138"/>
      <c r="L159" s="138"/>
      <c r="M159" s="1594"/>
      <c r="O159" s="484" t="s">
        <v>1962</v>
      </c>
      <c r="P159" s="2192"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3204" t="s">
        <v>149</v>
      </c>
      <c r="C161" s="3204"/>
      <c r="D161" s="3204"/>
      <c r="E161" s="3204"/>
      <c r="F161" s="3204"/>
      <c r="G161" s="3204"/>
      <c r="H161" s="3204"/>
      <c r="I161" s="3204"/>
      <c r="J161" s="3204"/>
      <c r="K161" s="3204"/>
      <c r="L161" s="3204"/>
      <c r="M161" s="166" t="s">
        <v>3392</v>
      </c>
      <c r="N161" s="3207" t="s">
        <v>4654</v>
      </c>
      <c r="O161" s="3208"/>
      <c r="P161" s="3209" t="s">
        <v>1784</v>
      </c>
      <c r="Q161" s="3210"/>
      <c r="AE161" s="5"/>
      <c r="AF161" s="5"/>
    </row>
    <row r="162" spans="1:32" s="1" customFormat="1" ht="12" customHeight="1">
      <c r="A162" s="48" t="s">
        <v>622</v>
      </c>
      <c r="B162" s="118" t="s">
        <v>1</v>
      </c>
      <c r="D162" s="1240"/>
      <c r="E162" s="1240"/>
      <c r="G162" s="484" t="s">
        <v>622</v>
      </c>
      <c r="H162" s="3197" t="s">
        <v>4688</v>
      </c>
      <c r="I162" s="3198"/>
      <c r="J162" s="3198"/>
      <c r="K162" s="3198"/>
      <c r="L162" s="3198"/>
      <c r="M162" s="3198"/>
      <c r="N162" s="3198"/>
      <c r="O162" s="3198"/>
      <c r="P162" s="3199"/>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210" t="s">
        <v>3011</v>
      </c>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11.45" customHeight="1">
      <c r="A165" s="3106" t="s">
        <v>4689</v>
      </c>
      <c r="B165" s="3107"/>
      <c r="C165" s="3107"/>
      <c r="D165" s="3107"/>
      <c r="E165" s="3107"/>
      <c r="F165" s="3107"/>
      <c r="G165" s="3107"/>
      <c r="H165" s="3107"/>
      <c r="I165" s="3107"/>
      <c r="J165" s="3107"/>
      <c r="K165" s="3107"/>
      <c r="L165" s="3107"/>
      <c r="M165" s="3107"/>
      <c r="N165" s="3107"/>
      <c r="O165" s="3107"/>
      <c r="P165" s="3107"/>
      <c r="Q165" s="3108"/>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3165"/>
      <c r="B168" s="3166"/>
      <c r="C168" s="3166"/>
      <c r="D168" s="3166"/>
      <c r="E168" s="3166"/>
      <c r="F168" s="3166"/>
      <c r="G168" s="3166"/>
      <c r="H168" s="3166"/>
      <c r="I168" s="3166"/>
      <c r="J168" s="3166"/>
      <c r="K168" s="3166"/>
      <c r="L168" s="3166"/>
      <c r="M168" s="3166"/>
      <c r="N168" s="3166"/>
      <c r="O168" s="3166"/>
      <c r="P168" s="3166"/>
      <c r="Q168" s="3167"/>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3122"/>
      <c r="Q170" s="3123"/>
    </row>
    <row r="171" spans="1:32" ht="12" customHeight="1">
      <c r="A171" s="48" t="s">
        <v>1999</v>
      </c>
      <c r="B171" s="53" t="s">
        <v>3934</v>
      </c>
      <c r="D171" s="53"/>
      <c r="E171" s="53"/>
      <c r="F171" s="53"/>
      <c r="G171" s="53"/>
      <c r="I171" s="53" t="s">
        <v>2725</v>
      </c>
      <c r="K171" s="3281">
        <v>43464</v>
      </c>
      <c r="L171" s="3282"/>
      <c r="N171" s="53"/>
      <c r="O171" s="484" t="s">
        <v>1999</v>
      </c>
      <c r="P171" s="2210" t="s">
        <v>3011</v>
      </c>
      <c r="Q171" s="559"/>
    </row>
    <row r="172" spans="1:32" ht="12" customHeight="1">
      <c r="A172" s="48" t="s">
        <v>2001</v>
      </c>
      <c r="B172" s="144" t="s">
        <v>151</v>
      </c>
      <c r="D172" s="144"/>
      <c r="E172" s="144"/>
      <c r="F172" s="144"/>
      <c r="G172" s="144"/>
      <c r="H172" s="144"/>
      <c r="M172" s="484" t="s">
        <v>2001</v>
      </c>
      <c r="N172" s="3283" t="s">
        <v>4610</v>
      </c>
      <c r="O172" s="3284"/>
      <c r="P172" s="3285" t="s">
        <v>1784</v>
      </c>
      <c r="Q172" s="3286"/>
    </row>
    <row r="173" spans="1:32" ht="12" customHeight="1">
      <c r="A173" s="48" t="s">
        <v>757</v>
      </c>
      <c r="B173" s="144" t="s">
        <v>688</v>
      </c>
      <c r="D173" s="144"/>
      <c r="E173" s="144"/>
      <c r="F173" s="144"/>
      <c r="G173" s="144"/>
      <c r="H173" s="144"/>
      <c r="J173" s="484" t="s">
        <v>757</v>
      </c>
      <c r="K173" s="3188" t="s">
        <v>4656</v>
      </c>
      <c r="L173" s="3189"/>
      <c r="M173" s="3189"/>
      <c r="N173" s="3189"/>
      <c r="O173" s="3189"/>
      <c r="P173" s="3190"/>
      <c r="Q173" s="559"/>
    </row>
    <row r="174" spans="1:32" ht="12" customHeight="1">
      <c r="A174" s="48" t="s">
        <v>2131</v>
      </c>
      <c r="B174" s="144" t="s">
        <v>2901</v>
      </c>
      <c r="D174" s="144"/>
      <c r="E174" s="144"/>
      <c r="F174" s="144"/>
      <c r="G174" s="144"/>
      <c r="H174" s="144"/>
      <c r="J174" s="484"/>
      <c r="K174" s="484"/>
      <c r="L174" s="484"/>
      <c r="M174" s="484"/>
      <c r="N174" s="484"/>
      <c r="O174" s="484" t="s">
        <v>2131</v>
      </c>
      <c r="P174" s="2210" t="s">
        <v>3011</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49.5" customHeight="1">
      <c r="A176" s="3238" t="s">
        <v>4690</v>
      </c>
      <c r="B176" s="3239"/>
      <c r="C176" s="3239"/>
      <c r="D176" s="3239"/>
      <c r="E176" s="3239"/>
      <c r="F176" s="3239"/>
      <c r="G176" s="3239"/>
      <c r="H176" s="3239"/>
      <c r="I176" s="3239"/>
      <c r="J176" s="3239"/>
      <c r="K176" s="3239"/>
      <c r="L176" s="3239"/>
      <c r="M176" s="3239"/>
      <c r="N176" s="3239"/>
      <c r="O176" s="3239"/>
      <c r="P176" s="3239"/>
      <c r="Q176" s="3240"/>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3165"/>
      <c r="B178" s="3166"/>
      <c r="C178" s="3166"/>
      <c r="D178" s="3166"/>
      <c r="E178" s="3166"/>
      <c r="F178" s="3166"/>
      <c r="G178" s="3166"/>
      <c r="H178" s="3166"/>
      <c r="I178" s="3166"/>
      <c r="J178" s="3166"/>
      <c r="K178" s="3166"/>
      <c r="L178" s="3166"/>
      <c r="M178" s="3166"/>
      <c r="N178" s="3166"/>
      <c r="O178" s="3166"/>
      <c r="P178" s="3166"/>
      <c r="Q178" s="3167"/>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3122"/>
      <c r="Q180" s="3123"/>
    </row>
    <row r="181" spans="1:31" ht="21.75" customHeight="1">
      <c r="A181" s="146" t="s">
        <v>1999</v>
      </c>
      <c r="B181" s="3204" t="s">
        <v>3770</v>
      </c>
      <c r="C181" s="3204"/>
      <c r="D181" s="3204"/>
      <c r="E181" s="3204"/>
      <c r="F181" s="3204"/>
      <c r="G181" s="3204"/>
      <c r="H181" s="3204"/>
      <c r="I181" s="3204"/>
      <c r="J181" s="3204"/>
      <c r="K181" s="3204"/>
      <c r="L181" s="3204"/>
      <c r="M181" s="3204"/>
      <c r="N181" s="3204"/>
      <c r="O181" s="166" t="s">
        <v>1999</v>
      </c>
      <c r="P181" s="2236" t="s">
        <v>3011</v>
      </c>
      <c r="Q181" s="1261"/>
    </row>
    <row r="182" spans="1:31" ht="22.15" customHeight="1">
      <c r="A182" s="146" t="s">
        <v>2001</v>
      </c>
      <c r="B182" s="3204" t="s">
        <v>3663</v>
      </c>
      <c r="C182" s="3204"/>
      <c r="D182" s="3204"/>
      <c r="E182" s="3204"/>
      <c r="F182" s="3204"/>
      <c r="G182" s="3204"/>
      <c r="H182" s="3204"/>
      <c r="I182" s="3204"/>
      <c r="J182" s="3204"/>
      <c r="K182" s="3204"/>
      <c r="L182" s="3204"/>
      <c r="M182" s="3204"/>
      <c r="N182" s="3204"/>
      <c r="O182" s="166" t="s">
        <v>2001</v>
      </c>
      <c r="P182" s="2262" t="s">
        <v>4611</v>
      </c>
      <c r="Q182" s="564"/>
    </row>
    <row r="183" spans="1:31" ht="22.15" customHeight="1">
      <c r="A183" s="146" t="s">
        <v>757</v>
      </c>
      <c r="B183" s="3204" t="s">
        <v>3771</v>
      </c>
      <c r="C183" s="3204"/>
      <c r="D183" s="3204"/>
      <c r="E183" s="3204"/>
      <c r="F183" s="3204"/>
      <c r="G183" s="3204"/>
      <c r="H183" s="3204"/>
      <c r="I183" s="3204"/>
      <c r="J183" s="3204"/>
      <c r="K183" s="3204"/>
      <c r="L183" s="3204"/>
      <c r="M183" s="3204"/>
      <c r="N183" s="3204"/>
      <c r="O183" s="166" t="s">
        <v>757</v>
      </c>
      <c r="P183" s="2262" t="s">
        <v>4611</v>
      </c>
      <c r="Q183" s="564"/>
    </row>
    <row r="184" spans="1:31" ht="21.75" customHeight="1">
      <c r="A184" s="146" t="s">
        <v>2131</v>
      </c>
      <c r="B184" s="3204" t="s">
        <v>2659</v>
      </c>
      <c r="C184" s="3204"/>
      <c r="D184" s="3204"/>
      <c r="E184" s="3204"/>
      <c r="F184" s="3204"/>
      <c r="G184" s="3204"/>
      <c r="H184" s="3204"/>
      <c r="I184" s="3204"/>
      <c r="J184" s="3204"/>
      <c r="K184" s="3204"/>
      <c r="L184" s="3204"/>
      <c r="M184" s="3204"/>
      <c r="N184" s="3204"/>
      <c r="O184" s="166" t="s">
        <v>2131</v>
      </c>
      <c r="P184" s="2249" t="s">
        <v>4611</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06" t="s">
        <v>4691</v>
      </c>
      <c r="B186" s="3107"/>
      <c r="C186" s="3107"/>
      <c r="D186" s="3107"/>
      <c r="E186" s="3107"/>
      <c r="F186" s="3107"/>
      <c r="G186" s="3107"/>
      <c r="H186" s="3107"/>
      <c r="I186" s="3107"/>
      <c r="J186" s="3107"/>
      <c r="K186" s="3107"/>
      <c r="L186" s="3107"/>
      <c r="M186" s="3107"/>
      <c r="N186" s="3107"/>
      <c r="O186" s="3107"/>
      <c r="P186" s="3107"/>
      <c r="Q186" s="3108"/>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3165"/>
      <c r="B188" s="3166"/>
      <c r="C188" s="3166"/>
      <c r="D188" s="3166"/>
      <c r="E188" s="3166"/>
      <c r="F188" s="3166"/>
      <c r="G188" s="3166"/>
      <c r="H188" s="3166"/>
      <c r="I188" s="3166"/>
      <c r="J188" s="3166"/>
      <c r="K188" s="3166"/>
      <c r="L188" s="3166"/>
      <c r="M188" s="3166"/>
      <c r="N188" s="3166"/>
      <c r="O188" s="3166"/>
      <c r="P188" s="3166"/>
      <c r="Q188" s="3167"/>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3077" t="s">
        <v>2675</v>
      </c>
      <c r="C190" s="3077"/>
      <c r="D190" s="3077"/>
      <c r="O190" s="136" t="s">
        <v>1881</v>
      </c>
      <c r="P190" s="3122"/>
      <c r="Q190" s="3123"/>
    </row>
    <row r="191" spans="1:31" ht="12" customHeight="1">
      <c r="A191" s="146" t="s">
        <v>1999</v>
      </c>
      <c r="B191" s="932" t="s">
        <v>472</v>
      </c>
      <c r="D191" s="932"/>
      <c r="E191" s="932"/>
      <c r="F191" s="932"/>
      <c r="G191" s="932"/>
      <c r="H191" s="932"/>
      <c r="I191" s="932"/>
      <c r="J191" s="932"/>
      <c r="K191" s="932"/>
      <c r="L191" s="932"/>
      <c r="M191" s="932"/>
      <c r="O191" s="166" t="s">
        <v>1999</v>
      </c>
      <c r="P191" s="2193"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196"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196" t="s">
        <v>3011</v>
      </c>
      <c r="Q193" s="562"/>
    </row>
    <row r="194" spans="1:32" ht="12" customHeight="1">
      <c r="A194" s="146"/>
      <c r="B194" s="3204" t="s">
        <v>2649</v>
      </c>
      <c r="C194" s="3204"/>
      <c r="D194" s="484" t="s">
        <v>1750</v>
      </c>
      <c r="E194" s="956" t="s">
        <v>2662</v>
      </c>
      <c r="G194" s="932"/>
      <c r="H194" s="932"/>
      <c r="I194" s="932"/>
      <c r="J194" s="932"/>
      <c r="K194" s="932"/>
      <c r="L194" s="932"/>
      <c r="M194" s="932"/>
      <c r="O194" s="459" t="s">
        <v>1750</v>
      </c>
      <c r="P194" s="2196" t="s">
        <v>3011</v>
      </c>
      <c r="Q194" s="562"/>
    </row>
    <row r="195" spans="1:32" ht="12" customHeight="1">
      <c r="A195" s="146"/>
      <c r="B195" s="3204"/>
      <c r="C195" s="3204"/>
      <c r="D195" s="484" t="s">
        <v>1751</v>
      </c>
      <c r="E195" s="956" t="s">
        <v>2663</v>
      </c>
      <c r="G195" s="932"/>
      <c r="H195" s="932"/>
      <c r="I195" s="932"/>
      <c r="J195" s="932"/>
      <c r="K195" s="932"/>
      <c r="L195" s="932"/>
      <c r="M195" s="932"/>
      <c r="O195" s="459" t="s">
        <v>1751</v>
      </c>
      <c r="P195" s="2196" t="s">
        <v>3011</v>
      </c>
      <c r="Q195" s="562"/>
    </row>
    <row r="196" spans="1:32" s="137" customFormat="1" ht="21.75" customHeight="1">
      <c r="A196" s="146"/>
      <c r="C196" s="932"/>
      <c r="D196" s="166" t="s">
        <v>1752</v>
      </c>
      <c r="E196" s="3204" t="s">
        <v>3772</v>
      </c>
      <c r="F196" s="3204"/>
      <c r="G196" s="3204"/>
      <c r="H196" s="3204"/>
      <c r="I196" s="3204"/>
      <c r="J196" s="3204"/>
      <c r="K196" s="3204"/>
      <c r="L196" s="3204"/>
      <c r="M196" s="3204"/>
      <c r="N196" s="3204"/>
      <c r="O196" s="166" t="s">
        <v>1752</v>
      </c>
      <c r="P196" s="2262"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196" t="s">
        <v>3011</v>
      </c>
      <c r="Q197" s="562"/>
    </row>
    <row r="198" spans="1:32" s="137" customFormat="1" ht="21.75" customHeight="1">
      <c r="A198" s="146"/>
      <c r="C198" s="932"/>
      <c r="D198" s="166" t="s">
        <v>1561</v>
      </c>
      <c r="E198" s="3204" t="s">
        <v>2665</v>
      </c>
      <c r="F198" s="3204"/>
      <c r="G198" s="3204"/>
      <c r="H198" s="3204"/>
      <c r="I198" s="3204"/>
      <c r="J198" s="3204"/>
      <c r="K198" s="3204"/>
      <c r="L198" s="3204"/>
      <c r="M198" s="3204"/>
      <c r="N198" s="3204"/>
      <c r="O198" s="166" t="s">
        <v>1561</v>
      </c>
      <c r="P198" s="2262" t="s">
        <v>3011</v>
      </c>
      <c r="Q198" s="564"/>
      <c r="AE198" s="487"/>
      <c r="AF198" s="487"/>
    </row>
    <row r="199" spans="1:32" s="137" customFormat="1" ht="21.75" customHeight="1">
      <c r="A199" s="146"/>
      <c r="C199" s="932"/>
      <c r="D199" s="166" t="s">
        <v>1562</v>
      </c>
      <c r="E199" s="3204" t="s">
        <v>3928</v>
      </c>
      <c r="F199" s="3204"/>
      <c r="G199" s="3204"/>
      <c r="H199" s="3204"/>
      <c r="I199" s="3204"/>
      <c r="J199" s="3204"/>
      <c r="K199" s="3204"/>
      <c r="L199" s="3204"/>
      <c r="M199" s="3204"/>
      <c r="N199" s="3204"/>
      <c r="O199" s="166" t="s">
        <v>1562</v>
      </c>
      <c r="P199" s="2262" t="s">
        <v>4611</v>
      </c>
      <c r="Q199" s="564"/>
      <c r="AE199" s="487"/>
      <c r="AF199" s="487"/>
    </row>
    <row r="200" spans="1:32" ht="21.75" customHeight="1">
      <c r="A200" s="146" t="s">
        <v>2131</v>
      </c>
      <c r="B200" s="3204" t="s">
        <v>2666</v>
      </c>
      <c r="C200" s="3204"/>
      <c r="D200" s="3204"/>
      <c r="E200" s="3204"/>
      <c r="F200" s="3204"/>
      <c r="G200" s="3204"/>
      <c r="H200" s="3204"/>
      <c r="I200" s="3204"/>
      <c r="J200" s="3204"/>
      <c r="K200" s="3204"/>
      <c r="L200" s="3204"/>
      <c r="M200" s="3204"/>
      <c r="N200" s="3204"/>
      <c r="O200" s="166" t="s">
        <v>2131</v>
      </c>
      <c r="P200" s="2262"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192" t="s">
        <v>3011</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34.5" customHeight="1">
      <c r="A203" s="3106" t="s">
        <v>4692</v>
      </c>
      <c r="B203" s="3107"/>
      <c r="C203" s="3107"/>
      <c r="D203" s="3107"/>
      <c r="E203" s="3107"/>
      <c r="F203" s="3107"/>
      <c r="G203" s="3107"/>
      <c r="H203" s="3107"/>
      <c r="I203" s="3107"/>
      <c r="J203" s="3107"/>
      <c r="K203" s="3107"/>
      <c r="L203" s="3107"/>
      <c r="M203" s="3107"/>
      <c r="N203" s="3107"/>
      <c r="O203" s="3107"/>
      <c r="P203" s="3107"/>
      <c r="Q203" s="3108"/>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3165"/>
      <c r="B205" s="3166"/>
      <c r="C205" s="3166"/>
      <c r="D205" s="3166"/>
      <c r="E205" s="3166"/>
      <c r="F205" s="3166"/>
      <c r="G205" s="3166"/>
      <c r="H205" s="3166"/>
      <c r="I205" s="3166"/>
      <c r="J205" s="3166"/>
      <c r="K205" s="3166"/>
      <c r="L205" s="3166"/>
      <c r="M205" s="3166"/>
      <c r="N205" s="3166"/>
      <c r="O205" s="3166"/>
      <c r="P205" s="3166"/>
      <c r="Q205" s="3167"/>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3122"/>
      <c r="Q207" s="3123"/>
    </row>
    <row r="208" spans="1:32" ht="11.25" customHeight="1">
      <c r="A208" s="143"/>
      <c r="B208" s="144" t="s">
        <v>98</v>
      </c>
      <c r="D208" s="144"/>
      <c r="E208" s="144"/>
      <c r="F208" s="144"/>
      <c r="G208" s="144"/>
      <c r="H208" s="68" t="s">
        <v>1750</v>
      </c>
      <c r="I208" s="53" t="s">
        <v>153</v>
      </c>
      <c r="J208" s="3168" t="s">
        <v>1857</v>
      </c>
      <c r="K208" s="3169"/>
      <c r="L208" s="3169"/>
      <c r="M208" s="3169"/>
      <c r="N208" s="3211"/>
      <c r="O208" s="68" t="s">
        <v>1750</v>
      </c>
      <c r="P208" s="2193"/>
      <c r="Q208" s="561"/>
    </row>
    <row r="209" spans="1:31" ht="11.25" customHeight="1">
      <c r="A209" s="143"/>
      <c r="B209" s="145" t="s">
        <v>3779</v>
      </c>
      <c r="C209" s="107"/>
      <c r="D209" s="107"/>
      <c r="E209" s="107"/>
      <c r="F209" s="107"/>
      <c r="H209" s="68" t="s">
        <v>1751</v>
      </c>
      <c r="I209" s="53" t="s">
        <v>1608</v>
      </c>
      <c r="J209" s="3214" t="s">
        <v>4612</v>
      </c>
      <c r="K209" s="3215"/>
      <c r="L209" s="3215"/>
      <c r="M209" s="3215"/>
      <c r="N209" s="3216"/>
      <c r="O209" s="68" t="s">
        <v>1751</v>
      </c>
      <c r="P209" s="2192" t="s">
        <v>3011</v>
      </c>
      <c r="Q209" s="563"/>
    </row>
    <row r="210" spans="1:31" ht="11.45" customHeight="1">
      <c r="A210" s="3106" t="s">
        <v>4693</v>
      </c>
      <c r="B210" s="3107"/>
      <c r="C210" s="3107"/>
      <c r="D210" s="3107"/>
      <c r="E210" s="3107"/>
      <c r="F210" s="3107"/>
      <c r="G210" s="3107"/>
      <c r="H210" s="3107"/>
      <c r="I210" s="3107"/>
      <c r="J210" s="3107"/>
      <c r="K210" s="3107"/>
      <c r="L210" s="3107"/>
      <c r="M210" s="3107"/>
      <c r="N210" s="3107"/>
      <c r="O210" s="3107"/>
      <c r="P210" s="3107"/>
      <c r="Q210" s="3108"/>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3165"/>
      <c r="B212" s="3166"/>
      <c r="C212" s="3166"/>
      <c r="D212" s="3166"/>
      <c r="E212" s="3166"/>
      <c r="F212" s="3166"/>
      <c r="G212" s="3166"/>
      <c r="H212" s="3166"/>
      <c r="I212" s="3166"/>
      <c r="J212" s="3166"/>
      <c r="K212" s="3166"/>
      <c r="L212" s="3166"/>
      <c r="M212" s="3166"/>
      <c r="N212" s="3166"/>
      <c r="O212" s="3166"/>
      <c r="P212" s="3166"/>
      <c r="Q212" s="3167"/>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3122"/>
      <c r="Q214" s="3123"/>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193"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2001</v>
      </c>
      <c r="B218" s="3204" t="s">
        <v>1863</v>
      </c>
      <c r="C218" s="3204"/>
      <c r="D218" s="3204"/>
      <c r="E218" s="3204"/>
      <c r="F218" s="3204"/>
      <c r="G218" s="3204"/>
      <c r="H218" s="68" t="s">
        <v>1750</v>
      </c>
      <c r="I218" s="53" t="s">
        <v>641</v>
      </c>
      <c r="J218" s="3168" t="s">
        <v>3687</v>
      </c>
      <c r="K218" s="3169"/>
      <c r="L218" s="3169"/>
      <c r="M218" s="3169"/>
      <c r="N218" s="3211"/>
      <c r="O218" s="68" t="s">
        <v>1458</v>
      </c>
      <c r="P218" s="2196" t="s">
        <v>3011</v>
      </c>
      <c r="Q218" s="562"/>
    </row>
    <row r="219" spans="1:31" ht="11.45" customHeight="1">
      <c r="A219" s="155"/>
      <c r="B219" s="3204"/>
      <c r="C219" s="3204"/>
      <c r="D219" s="3204"/>
      <c r="E219" s="3204"/>
      <c r="F219" s="3204"/>
      <c r="G219" s="3204"/>
      <c r="H219" s="68" t="s">
        <v>1751</v>
      </c>
      <c r="I219" s="53" t="s">
        <v>117</v>
      </c>
      <c r="J219" s="3214" t="s">
        <v>3687</v>
      </c>
      <c r="K219" s="3215"/>
      <c r="L219" s="3215"/>
      <c r="M219" s="3215"/>
      <c r="N219" s="3216"/>
      <c r="O219" s="68" t="s">
        <v>1751</v>
      </c>
      <c r="P219" s="2196" t="s">
        <v>3011</v>
      </c>
      <c r="Q219" s="562"/>
    </row>
    <row r="220" spans="1:31" ht="12" customHeight="1">
      <c r="A220" s="48" t="s">
        <v>757</v>
      </c>
      <c r="B220" s="53" t="s">
        <v>3935</v>
      </c>
      <c r="D220" s="53"/>
      <c r="E220" s="53"/>
      <c r="F220" s="53"/>
      <c r="G220" s="53"/>
      <c r="H220" s="53"/>
      <c r="I220" s="53"/>
      <c r="J220" s="53"/>
      <c r="K220" s="43"/>
      <c r="L220" s="53"/>
      <c r="M220" s="53"/>
      <c r="O220" s="484" t="s">
        <v>757</v>
      </c>
      <c r="P220" s="2196" t="s">
        <v>3011</v>
      </c>
      <c r="Q220" s="562"/>
    </row>
    <row r="221" spans="1:31" ht="12" customHeight="1">
      <c r="A221" s="48" t="s">
        <v>2131</v>
      </c>
      <c r="B221" s="53" t="s">
        <v>3936</v>
      </c>
      <c r="D221" s="53"/>
      <c r="E221" s="53"/>
      <c r="F221" s="53"/>
      <c r="G221" s="53"/>
      <c r="H221" s="53"/>
      <c r="I221" s="53"/>
      <c r="J221" s="53"/>
      <c r="K221" s="43"/>
      <c r="L221" s="53"/>
      <c r="M221" s="53"/>
      <c r="O221" s="484" t="s">
        <v>2131</v>
      </c>
      <c r="P221" s="2192"/>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06" t="s">
        <v>4694</v>
      </c>
      <c r="B223" s="3107"/>
      <c r="C223" s="3107"/>
      <c r="D223" s="3107"/>
      <c r="E223" s="3107"/>
      <c r="F223" s="3107"/>
      <c r="G223" s="3107"/>
      <c r="H223" s="3107"/>
      <c r="I223" s="3107"/>
      <c r="J223" s="3107"/>
      <c r="K223" s="3107"/>
      <c r="L223" s="3107"/>
      <c r="M223" s="3107"/>
      <c r="N223" s="3107"/>
      <c r="O223" s="3107"/>
      <c r="P223" s="3107"/>
      <c r="Q223" s="3108"/>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3165"/>
      <c r="B225" s="3166"/>
      <c r="C225" s="3166"/>
      <c r="D225" s="3166"/>
      <c r="E225" s="3166"/>
      <c r="F225" s="3166"/>
      <c r="G225" s="3166"/>
      <c r="H225" s="3166"/>
      <c r="I225" s="3166"/>
      <c r="J225" s="3166"/>
      <c r="K225" s="3166"/>
      <c r="L225" s="3166"/>
      <c r="M225" s="3166"/>
      <c r="N225" s="3166"/>
      <c r="O225" s="3166"/>
      <c r="P225" s="3166"/>
      <c r="Q225" s="3167"/>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3122"/>
      <c r="Q227" s="3123"/>
    </row>
    <row r="228" spans="1:32" s="28" customFormat="1" ht="11.45" customHeight="1">
      <c r="B228" s="149" t="s">
        <v>1203</v>
      </c>
      <c r="N228" s="124"/>
      <c r="P228" s="2210" t="s">
        <v>3014</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210" t="s">
        <v>4604</v>
      </c>
      <c r="Q229" s="561"/>
    </row>
    <row r="230" spans="1:32" ht="11.45" customHeight="1">
      <c r="A230" s="48"/>
      <c r="B230" s="68" t="s">
        <v>1750</v>
      </c>
      <c r="C230" s="53" t="s">
        <v>1946</v>
      </c>
      <c r="E230" s="53"/>
      <c r="F230" s="53"/>
      <c r="G230" s="53"/>
      <c r="H230" s="53"/>
      <c r="I230" s="43"/>
      <c r="J230" s="68" t="s">
        <v>1498</v>
      </c>
      <c r="K230" s="3168" t="s">
        <v>4613</v>
      </c>
      <c r="L230" s="3211"/>
      <c r="Q230" s="562"/>
    </row>
    <row r="231" spans="1:32" ht="11.45" customHeight="1">
      <c r="A231" s="48"/>
      <c r="B231" s="68" t="s">
        <v>1751</v>
      </c>
      <c r="C231" s="956" t="s">
        <v>2741</v>
      </c>
      <c r="E231" s="956"/>
      <c r="F231" s="956"/>
      <c r="G231" s="956"/>
      <c r="H231" s="956"/>
      <c r="I231" s="43"/>
      <c r="J231" s="68" t="s">
        <v>1499</v>
      </c>
      <c r="K231" s="3212" t="s">
        <v>4614</v>
      </c>
      <c r="L231" s="3213"/>
      <c r="M231" s="3221" t="s">
        <v>2742</v>
      </c>
      <c r="N231" s="3222"/>
      <c r="O231" s="3222"/>
      <c r="P231" s="3223"/>
      <c r="Q231" s="562"/>
    </row>
    <row r="232" spans="1:32" ht="11.45" customHeight="1">
      <c r="A232" s="48"/>
      <c r="B232" s="68" t="s">
        <v>1752</v>
      </c>
      <c r="C232" s="956" t="s">
        <v>563</v>
      </c>
      <c r="E232" s="956"/>
      <c r="F232" s="956"/>
      <c r="G232" s="956"/>
      <c r="H232" s="956"/>
      <c r="I232" s="43"/>
      <c r="J232" s="68" t="s">
        <v>1500</v>
      </c>
      <c r="K232" s="3214" t="s">
        <v>4615</v>
      </c>
      <c r="L232" s="3215"/>
      <c r="M232" s="3216"/>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210" t="s">
        <v>4604</v>
      </c>
      <c r="Q233" s="559"/>
    </row>
    <row r="234" spans="1:32" ht="10.9" customHeight="1">
      <c r="A234" s="48"/>
      <c r="B234" s="53" t="s">
        <v>3607</v>
      </c>
      <c r="D234" s="53"/>
      <c r="E234" s="53"/>
      <c r="F234" s="53"/>
      <c r="G234" s="53"/>
      <c r="H234" s="53"/>
      <c r="I234" s="53"/>
      <c r="J234" s="53"/>
      <c r="K234" s="43"/>
      <c r="L234" s="43"/>
      <c r="M234" s="43"/>
      <c r="N234" s="43"/>
      <c r="O234" s="43"/>
      <c r="P234" s="3217" t="s">
        <v>2</v>
      </c>
      <c r="Q234" s="3217"/>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218" t="s">
        <v>4616</v>
      </c>
      <c r="D236" s="3219"/>
      <c r="E236" s="3219"/>
      <c r="F236" s="3219"/>
      <c r="G236" s="3220"/>
      <c r="H236" s="568"/>
      <c r="I236" s="569"/>
      <c r="J236" s="68" t="s">
        <v>1752</v>
      </c>
      <c r="K236" s="3218"/>
      <c r="L236" s="3219"/>
      <c r="M236" s="3219"/>
      <c r="N236" s="3219"/>
      <c r="O236" s="3220"/>
      <c r="P236" s="561"/>
      <c r="Q236" s="569"/>
      <c r="AE236" s="55"/>
      <c r="AF236" s="55"/>
    </row>
    <row r="237" spans="1:32" s="44" customFormat="1" ht="11.45" customHeight="1">
      <c r="A237" s="52"/>
      <c r="B237" s="68" t="s">
        <v>1751</v>
      </c>
      <c r="C237" s="3230" t="s">
        <v>2119</v>
      </c>
      <c r="D237" s="3231"/>
      <c r="E237" s="3231"/>
      <c r="F237" s="3231"/>
      <c r="G237" s="3232"/>
      <c r="H237" s="570"/>
      <c r="I237" s="571"/>
      <c r="J237" s="68" t="s">
        <v>2381</v>
      </c>
      <c r="K237" s="3230"/>
      <c r="L237" s="3231"/>
      <c r="M237" s="3231"/>
      <c r="N237" s="3231"/>
      <c r="O237" s="323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4604</v>
      </c>
      <c r="Q238" s="561"/>
    </row>
    <row r="239" spans="1:32" ht="11.45" customHeight="1">
      <c r="A239" s="48"/>
      <c r="B239" s="68" t="s">
        <v>1750</v>
      </c>
      <c r="C239" s="53" t="s">
        <v>3488</v>
      </c>
      <c r="E239" s="53"/>
      <c r="F239" s="53"/>
      <c r="L239" s="34"/>
      <c r="M239" s="34"/>
      <c r="O239" s="68" t="s">
        <v>1750</v>
      </c>
      <c r="P239" s="2196" t="s">
        <v>3011</v>
      </c>
      <c r="Q239" s="562"/>
    </row>
    <row r="240" spans="1:32" ht="11.45" customHeight="1">
      <c r="B240" s="68" t="s">
        <v>1751</v>
      </c>
      <c r="C240" s="956" t="s">
        <v>2826</v>
      </c>
      <c r="E240" s="956"/>
      <c r="F240" s="956"/>
      <c r="L240" s="34"/>
      <c r="M240" s="34"/>
      <c r="O240" s="68" t="s">
        <v>1751</v>
      </c>
      <c r="P240" s="2196" t="s">
        <v>3011</v>
      </c>
      <c r="Q240" s="562"/>
    </row>
    <row r="241" spans="1:31" ht="11.45" customHeight="1">
      <c r="B241" s="68" t="s">
        <v>1752</v>
      </c>
      <c r="C241" s="956" t="s">
        <v>2827</v>
      </c>
      <c r="E241" s="956"/>
      <c r="F241" s="956"/>
      <c r="G241" s="956"/>
      <c r="H241" s="956"/>
      <c r="I241" s="43"/>
      <c r="J241" s="34"/>
      <c r="K241" s="43"/>
      <c r="L241" s="34"/>
      <c r="M241" s="34"/>
      <c r="O241" s="68" t="s">
        <v>1752</v>
      </c>
      <c r="P241" s="2196" t="s">
        <v>3011</v>
      </c>
      <c r="Q241" s="562"/>
    </row>
    <row r="242" spans="1:31" ht="11.45" customHeight="1">
      <c r="A242" s="48"/>
      <c r="B242" s="68" t="s">
        <v>2381</v>
      </c>
      <c r="C242" s="956" t="s">
        <v>2828</v>
      </c>
      <c r="E242" s="956"/>
      <c r="F242" s="956"/>
      <c r="G242" s="956"/>
      <c r="H242" s="956"/>
      <c r="I242" s="43"/>
      <c r="J242" s="34"/>
      <c r="K242" s="43"/>
      <c r="L242" s="34"/>
      <c r="M242" s="34"/>
      <c r="O242" s="68" t="s">
        <v>2381</v>
      </c>
      <c r="P242" s="2196" t="s">
        <v>3011</v>
      </c>
      <c r="Q242" s="562"/>
    </row>
    <row r="243" spans="1:31" ht="11.45" customHeight="1">
      <c r="A243" s="48"/>
      <c r="B243" s="68" t="s">
        <v>1561</v>
      </c>
      <c r="C243" s="956" t="s">
        <v>2829</v>
      </c>
      <c r="E243" s="956"/>
      <c r="F243" s="956"/>
      <c r="G243" s="956"/>
      <c r="H243" s="956"/>
      <c r="I243" s="43"/>
      <c r="J243" s="34"/>
      <c r="K243" s="43"/>
      <c r="L243" s="34"/>
      <c r="M243" s="34"/>
      <c r="O243" s="68" t="s">
        <v>1561</v>
      </c>
      <c r="P243" s="2196" t="s">
        <v>3011</v>
      </c>
      <c r="Q243" s="562"/>
    </row>
    <row r="244" spans="1:31" ht="11.45" customHeight="1">
      <c r="A244" s="48"/>
      <c r="B244" s="484" t="s">
        <v>1562</v>
      </c>
      <c r="C244" s="53" t="s">
        <v>783</v>
      </c>
      <c r="E244" s="53"/>
      <c r="F244" s="53"/>
      <c r="G244" s="53"/>
      <c r="H244" s="53"/>
      <c r="I244" s="43"/>
      <c r="J244" s="34"/>
      <c r="K244" s="43"/>
      <c r="L244" s="34"/>
      <c r="M244" s="34"/>
      <c r="O244" s="484" t="s">
        <v>2817</v>
      </c>
      <c r="P244" s="2196" t="s">
        <v>3011</v>
      </c>
      <c r="Q244" s="562"/>
    </row>
    <row r="245" spans="1:31" ht="11.45" customHeight="1">
      <c r="A245" s="48"/>
      <c r="B245" s="68"/>
      <c r="C245" s="53" t="s">
        <v>1501</v>
      </c>
      <c r="E245" s="53"/>
      <c r="F245" s="53"/>
      <c r="G245" s="53"/>
      <c r="H245" s="53"/>
      <c r="I245" s="43"/>
      <c r="J245" s="34"/>
      <c r="K245" s="43"/>
      <c r="L245" s="34"/>
      <c r="M245" s="34"/>
      <c r="O245" s="484" t="s">
        <v>2818</v>
      </c>
      <c r="P245" s="2192"/>
      <c r="Q245" s="563"/>
    </row>
    <row r="246" spans="1:31" ht="12" customHeight="1">
      <c r="A246" s="48" t="s">
        <v>2131</v>
      </c>
      <c r="B246" s="53" t="s">
        <v>3688</v>
      </c>
      <c r="C246" s="53"/>
      <c r="E246" s="53"/>
      <c r="F246" s="53"/>
      <c r="G246" s="53"/>
      <c r="H246" s="53"/>
      <c r="I246" s="53"/>
      <c r="J246" s="53"/>
      <c r="K246" s="43"/>
      <c r="L246" s="53"/>
      <c r="M246" s="53"/>
      <c r="O246" s="484" t="s">
        <v>2131</v>
      </c>
      <c r="P246" s="2193" t="s">
        <v>4604</v>
      </c>
      <c r="Q246" s="561"/>
    </row>
    <row r="247" spans="1:31" ht="11.45" customHeight="1">
      <c r="B247" s="68" t="s">
        <v>1750</v>
      </c>
      <c r="C247" s="40" t="s">
        <v>1267</v>
      </c>
      <c r="E247" s="43"/>
      <c r="F247" s="43"/>
      <c r="G247" s="40"/>
      <c r="H247" s="956"/>
      <c r="I247" s="43"/>
      <c r="J247" s="956"/>
      <c r="K247" s="43"/>
      <c r="L247" s="956"/>
      <c r="M247" s="956"/>
      <c r="O247" s="68" t="s">
        <v>1750</v>
      </c>
      <c r="P247" s="2196" t="s">
        <v>3011</v>
      </c>
      <c r="Q247" s="562"/>
    </row>
    <row r="248" spans="1:31" ht="11.45" customHeight="1">
      <c r="B248" s="68" t="s">
        <v>1751</v>
      </c>
      <c r="C248" s="37" t="s">
        <v>3937</v>
      </c>
      <c r="E248" s="43"/>
      <c r="F248" s="43"/>
      <c r="G248" s="956"/>
      <c r="H248" s="956"/>
      <c r="I248" s="43"/>
      <c r="J248" s="956"/>
      <c r="K248" s="43"/>
      <c r="L248" s="956"/>
      <c r="M248" s="956"/>
      <c r="O248" s="68" t="s">
        <v>1751</v>
      </c>
      <c r="P248" s="2192" t="s">
        <v>3011</v>
      </c>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11.45" customHeight="1">
      <c r="A250" s="3106" t="s">
        <v>4617</v>
      </c>
      <c r="B250" s="3107"/>
      <c r="C250" s="3107"/>
      <c r="D250" s="3107"/>
      <c r="E250" s="3107"/>
      <c r="F250" s="3107"/>
      <c r="G250" s="3107"/>
      <c r="H250" s="3107"/>
      <c r="I250" s="3107"/>
      <c r="J250" s="3107"/>
      <c r="K250" s="3107"/>
      <c r="L250" s="3107"/>
      <c r="M250" s="3107"/>
      <c r="N250" s="3107"/>
      <c r="O250" s="3107"/>
      <c r="P250" s="3107"/>
      <c r="Q250" s="3108"/>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3165"/>
      <c r="B252" s="3166"/>
      <c r="C252" s="3166"/>
      <c r="D252" s="3166"/>
      <c r="E252" s="3166"/>
      <c r="F252" s="3166"/>
      <c r="G252" s="3166"/>
      <c r="H252" s="3166"/>
      <c r="I252" s="3166"/>
      <c r="J252" s="3166"/>
      <c r="K252" s="3166"/>
      <c r="L252" s="3166"/>
      <c r="M252" s="3166"/>
      <c r="N252" s="3166"/>
      <c r="O252" s="3166"/>
      <c r="P252" s="3166"/>
      <c r="Q252" s="3167"/>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3233"/>
      <c r="M254" s="3234"/>
      <c r="O254" s="136" t="s">
        <v>1881</v>
      </c>
      <c r="P254" s="3122"/>
      <c r="Q254" s="3123"/>
    </row>
    <row r="255" spans="1:31" ht="4.9000000000000004" customHeight="1">
      <c r="L255" s="3233"/>
      <c r="M255" s="3234"/>
      <c r="N255" s="56"/>
    </row>
    <row r="256" spans="1:31" ht="11.45" customHeight="1">
      <c r="A256" s="48" t="s">
        <v>1999</v>
      </c>
      <c r="B256" s="53" t="s">
        <v>1280</v>
      </c>
      <c r="D256" s="43"/>
      <c r="E256" s="53"/>
      <c r="F256" s="53"/>
      <c r="J256" s="484" t="s">
        <v>1999</v>
      </c>
      <c r="K256" s="3188" t="s">
        <v>4657</v>
      </c>
      <c r="L256" s="3189"/>
      <c r="M256" s="3189"/>
      <c r="N256" s="3189"/>
      <c r="O256" s="3190"/>
      <c r="P256" s="3224" t="s">
        <v>1784</v>
      </c>
      <c r="Q256" s="3225"/>
    </row>
    <row r="257" spans="1:32" ht="11.45" customHeight="1">
      <c r="A257" s="48" t="s">
        <v>2001</v>
      </c>
      <c r="B257" s="53" t="s">
        <v>2830</v>
      </c>
      <c r="D257" s="53"/>
      <c r="E257" s="53"/>
      <c r="F257" s="53"/>
      <c r="J257" s="484" t="s">
        <v>2001</v>
      </c>
      <c r="K257" s="3235">
        <v>43235</v>
      </c>
      <c r="L257" s="3236"/>
      <c r="M257" s="3236"/>
      <c r="N257" s="3236"/>
      <c r="O257" s="3237"/>
      <c r="P257" s="3226"/>
      <c r="Q257" s="3227"/>
    </row>
    <row r="258" spans="1:32" s="152" customFormat="1" ht="11.45" customHeight="1">
      <c r="A258" s="48"/>
      <c r="B258" s="53" t="s">
        <v>1960</v>
      </c>
      <c r="D258" s="53"/>
      <c r="E258" s="53"/>
      <c r="F258" s="53"/>
      <c r="K258" s="3214" t="s">
        <v>4608</v>
      </c>
      <c r="L258" s="3215"/>
      <c r="M258" s="3215"/>
      <c r="N258" s="3215"/>
      <c r="O258" s="3216"/>
      <c r="P258" s="3228"/>
      <c r="Q258" s="3229"/>
      <c r="AE258" s="488"/>
      <c r="AF258" s="488"/>
    </row>
    <row r="259" spans="1:32" s="152" customFormat="1" ht="11.45" customHeight="1">
      <c r="A259" s="48"/>
      <c r="B259" s="53" t="s">
        <v>2560</v>
      </c>
      <c r="D259" s="53"/>
      <c r="E259" s="53"/>
      <c r="F259" s="53"/>
      <c r="G259" s="53"/>
      <c r="H259" s="53"/>
      <c r="I259" s="97"/>
      <c r="J259" s="97"/>
      <c r="M259" s="37"/>
      <c r="N259" s="1091"/>
      <c r="O259" s="484"/>
      <c r="P259" s="2208" t="s">
        <v>3011</v>
      </c>
      <c r="Q259" s="1005"/>
      <c r="AE259" s="488"/>
      <c r="AF259" s="488"/>
    </row>
    <row r="260" spans="1:32" s="152" customFormat="1" ht="11.45" customHeight="1">
      <c r="A260" s="48" t="s">
        <v>757</v>
      </c>
      <c r="B260" s="53" t="s">
        <v>3786</v>
      </c>
      <c r="D260" s="53"/>
      <c r="E260" s="53"/>
      <c r="F260" s="53"/>
      <c r="M260" s="37"/>
      <c r="N260" s="1091"/>
      <c r="O260" s="484" t="s">
        <v>757</v>
      </c>
      <c r="P260" s="2193" t="s">
        <v>3011</v>
      </c>
      <c r="Q260" s="561"/>
      <c r="AE260" s="488"/>
      <c r="AF260" s="488"/>
    </row>
    <row r="261" spans="1:32" s="152" customFormat="1" ht="11.45" customHeight="1">
      <c r="A261" s="48"/>
      <c r="B261" s="53" t="s">
        <v>3785</v>
      </c>
      <c r="D261" s="53"/>
      <c r="E261" s="53"/>
      <c r="F261" s="53"/>
      <c r="K261" s="3188" t="s">
        <v>4658</v>
      </c>
      <c r="L261" s="3189"/>
      <c r="M261" s="3189"/>
      <c r="N261" s="3189"/>
      <c r="O261" s="3190"/>
      <c r="P261" s="3241"/>
      <c r="Q261" s="3242"/>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193" t="s">
        <v>3011</v>
      </c>
      <c r="Q262" s="561"/>
      <c r="AE262" s="488"/>
      <c r="AF262" s="488"/>
    </row>
    <row r="263" spans="1:32" s="152" customFormat="1" ht="11.45" customHeight="1">
      <c r="A263" s="48"/>
      <c r="B263" s="3204" t="s">
        <v>3787</v>
      </c>
      <c r="C263" s="3204"/>
      <c r="D263" s="3204"/>
      <c r="E263" s="3204"/>
      <c r="F263" s="3204"/>
      <c r="G263" s="3204"/>
      <c r="H263" s="446" t="s">
        <v>4165</v>
      </c>
      <c r="K263" s="97"/>
      <c r="M263" s="37"/>
      <c r="N263" s="1091"/>
      <c r="O263" s="68" t="s">
        <v>1750</v>
      </c>
      <c r="P263" s="2196" t="s">
        <v>3011</v>
      </c>
      <c r="Q263" s="562"/>
      <c r="AE263" s="488"/>
      <c r="AF263" s="488"/>
    </row>
    <row r="264" spans="1:32" s="152" customFormat="1" ht="11.45" customHeight="1">
      <c r="A264" s="48"/>
      <c r="B264" s="3204"/>
      <c r="C264" s="3204"/>
      <c r="D264" s="3204"/>
      <c r="E264" s="3204"/>
      <c r="F264" s="3204"/>
      <c r="G264" s="3204"/>
      <c r="H264" s="56" t="s">
        <v>4166</v>
      </c>
      <c r="K264" s="97"/>
      <c r="M264" s="37"/>
      <c r="N264" s="1091"/>
      <c r="O264" s="68" t="s">
        <v>1751</v>
      </c>
      <c r="P264" s="2196" t="s">
        <v>3011</v>
      </c>
      <c r="Q264" s="562"/>
      <c r="AE264" s="488"/>
      <c r="AF264" s="488"/>
    </row>
    <row r="265" spans="1:32" s="152" customFormat="1" ht="11.45" customHeight="1">
      <c r="A265" s="48"/>
      <c r="B265" s="53"/>
      <c r="D265" s="53"/>
      <c r="E265" s="53"/>
      <c r="F265" s="53"/>
      <c r="G265" s="53"/>
      <c r="H265" s="56" t="s">
        <v>4167</v>
      </c>
      <c r="K265" s="97"/>
      <c r="M265" s="37"/>
      <c r="N265" s="1091"/>
      <c r="O265" s="68" t="s">
        <v>1752</v>
      </c>
      <c r="P265" s="2196" t="s">
        <v>3011</v>
      </c>
      <c r="Q265" s="562"/>
      <c r="AE265" s="488"/>
      <c r="AF265" s="488"/>
    </row>
    <row r="266" spans="1:32" s="152" customFormat="1" ht="11.45" customHeight="1">
      <c r="A266" s="48"/>
      <c r="B266" s="53"/>
      <c r="D266" s="53"/>
      <c r="E266" s="53"/>
      <c r="F266" s="53"/>
      <c r="G266" s="53"/>
      <c r="H266" s="56" t="s">
        <v>4168</v>
      </c>
      <c r="K266" s="97"/>
      <c r="M266" s="37"/>
      <c r="N266" s="1091"/>
      <c r="O266" s="484" t="s">
        <v>2381</v>
      </c>
      <c r="P266" s="2192" t="s">
        <v>3011</v>
      </c>
      <c r="Q266" s="563"/>
      <c r="AE266" s="488"/>
      <c r="AF266" s="488"/>
    </row>
    <row r="267" spans="1:32" s="152" customFormat="1" ht="22.15" customHeight="1">
      <c r="A267" s="146" t="s">
        <v>1748</v>
      </c>
      <c r="B267" s="3204" t="s">
        <v>3939</v>
      </c>
      <c r="C267" s="3204"/>
      <c r="D267" s="3204"/>
      <c r="E267" s="3204"/>
      <c r="F267" s="3204"/>
      <c r="G267" s="3204"/>
      <c r="H267" s="3204"/>
      <c r="I267" s="3204"/>
      <c r="J267" s="3204"/>
      <c r="K267" s="3204"/>
      <c r="L267" s="3204"/>
      <c r="M267" s="3204"/>
      <c r="N267" s="3204"/>
      <c r="O267" s="166" t="s">
        <v>1748</v>
      </c>
      <c r="P267" s="2264" t="s">
        <v>4604</v>
      </c>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06" t="s">
        <v>4695</v>
      </c>
      <c r="B269" s="3107"/>
      <c r="C269" s="3107"/>
      <c r="D269" s="3107"/>
      <c r="E269" s="3107"/>
      <c r="F269" s="3107"/>
      <c r="G269" s="3107"/>
      <c r="H269" s="3107"/>
      <c r="I269" s="3107"/>
      <c r="J269" s="3107"/>
      <c r="K269" s="3107"/>
      <c r="L269" s="3107"/>
      <c r="M269" s="3107"/>
      <c r="N269" s="3107"/>
      <c r="O269" s="3107"/>
      <c r="P269" s="3107"/>
      <c r="Q269" s="3108"/>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3165"/>
      <c r="B271" s="3166"/>
      <c r="C271" s="3166"/>
      <c r="D271" s="3166"/>
      <c r="E271" s="3166"/>
      <c r="F271" s="3166"/>
      <c r="G271" s="3166"/>
      <c r="H271" s="3166"/>
      <c r="I271" s="3166"/>
      <c r="J271" s="3166"/>
      <c r="K271" s="3166"/>
      <c r="L271" s="3166"/>
      <c r="M271" s="3166"/>
      <c r="N271" s="3166"/>
      <c r="O271" s="3166"/>
      <c r="P271" s="3166"/>
      <c r="Q271" s="3167"/>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3122"/>
      <c r="Q273" s="3123"/>
    </row>
    <row r="274" spans="1:32" ht="3" customHeight="1"/>
    <row r="275" spans="1:32" s="429" customFormat="1" ht="21.75" customHeight="1">
      <c r="A275" s="146" t="s">
        <v>1999</v>
      </c>
      <c r="B275" s="3204" t="s">
        <v>3940</v>
      </c>
      <c r="C275" s="3204"/>
      <c r="D275" s="3204"/>
      <c r="E275" s="3204"/>
      <c r="F275" s="3204"/>
      <c r="G275" s="3204"/>
      <c r="H275" s="3204"/>
      <c r="I275" s="3204"/>
      <c r="J275" s="3204"/>
      <c r="K275" s="3204"/>
      <c r="L275" s="3204"/>
      <c r="M275" s="3204"/>
      <c r="N275" s="3204"/>
      <c r="O275" s="166" t="s">
        <v>1999</v>
      </c>
      <c r="P275" s="2236" t="s">
        <v>3011</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192" t="s">
        <v>3011</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192"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193" t="s">
        <v>3011</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192"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192" t="s">
        <v>3011</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25.9" customHeight="1">
      <c r="A282" s="3238" t="s">
        <v>4618</v>
      </c>
      <c r="B282" s="3239"/>
      <c r="C282" s="3239"/>
      <c r="D282" s="3239"/>
      <c r="E282" s="3239"/>
      <c r="F282" s="3239"/>
      <c r="G282" s="3239"/>
      <c r="H282" s="3239"/>
      <c r="I282" s="3239"/>
      <c r="J282" s="3239"/>
      <c r="K282" s="3239"/>
      <c r="L282" s="3239"/>
      <c r="M282" s="3239"/>
      <c r="N282" s="3239"/>
      <c r="O282" s="3239"/>
      <c r="P282" s="3239"/>
      <c r="Q282" s="3240"/>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3165"/>
      <c r="B284" s="3166"/>
      <c r="C284" s="3166"/>
      <c r="D284" s="3166"/>
      <c r="E284" s="3166"/>
      <c r="F284" s="3166"/>
      <c r="G284" s="3166"/>
      <c r="H284" s="3166"/>
      <c r="I284" s="3166"/>
      <c r="J284" s="3166"/>
      <c r="K284" s="3166"/>
      <c r="L284" s="3166"/>
      <c r="M284" s="3166"/>
      <c r="N284" s="3166"/>
      <c r="O284" s="3166"/>
      <c r="P284" s="3166"/>
      <c r="Q284" s="3167"/>
    </row>
    <row r="285" spans="1:32" ht="13.9" customHeight="1">
      <c r="A285" s="1586" t="s">
        <v>4151</v>
      </c>
      <c r="B285" s="1586" t="s">
        <v>2681</v>
      </c>
      <c r="C285" s="1586"/>
      <c r="D285" s="1592"/>
      <c r="E285" s="1592"/>
      <c r="F285" s="1592"/>
      <c r="G285" s="1592"/>
      <c r="H285" s="1592"/>
      <c r="I285" s="1592"/>
      <c r="J285" s="1592"/>
      <c r="K285" s="1592"/>
      <c r="L285" s="1592"/>
      <c r="M285" s="1592"/>
      <c r="O285" s="136" t="s">
        <v>1881</v>
      </c>
      <c r="P285" s="3122"/>
      <c r="Q285" s="3123"/>
    </row>
    <row r="286" spans="1:32" ht="3" customHeight="1"/>
    <row r="287" spans="1:32" s="429" customFormat="1" ht="21.75" customHeight="1">
      <c r="A287" s="146" t="s">
        <v>1999</v>
      </c>
      <c r="B287" s="3204" t="s">
        <v>2831</v>
      </c>
      <c r="C287" s="3204"/>
      <c r="D287" s="3204"/>
      <c r="E287" s="3204"/>
      <c r="F287" s="3204"/>
      <c r="G287" s="3204"/>
      <c r="H287" s="3204"/>
      <c r="I287" s="3204"/>
      <c r="J287" s="3204"/>
      <c r="K287" s="3204"/>
      <c r="L287" s="3204"/>
      <c r="M287" s="3204"/>
      <c r="N287" s="3204"/>
      <c r="O287" s="166" t="s">
        <v>1999</v>
      </c>
      <c r="P287" s="2236" t="s">
        <v>4604</v>
      </c>
      <c r="Q287" s="1261"/>
      <c r="AE287" s="489"/>
      <c r="AF287" s="489"/>
    </row>
    <row r="288" spans="1:32" s="429" customFormat="1" ht="21.75" customHeight="1">
      <c r="A288" s="146" t="s">
        <v>2001</v>
      </c>
      <c r="B288" s="3204" t="s">
        <v>2832</v>
      </c>
      <c r="C288" s="3204"/>
      <c r="D288" s="3204"/>
      <c r="E288" s="3204"/>
      <c r="F288" s="3204"/>
      <c r="G288" s="3204"/>
      <c r="H288" s="3204"/>
      <c r="I288" s="3204"/>
      <c r="J288" s="3204"/>
      <c r="K288" s="3204"/>
      <c r="L288" s="3204"/>
      <c r="M288" s="3204"/>
      <c r="N288" s="3204"/>
      <c r="O288" s="166" t="s">
        <v>2001</v>
      </c>
      <c r="P288" s="2249" t="s">
        <v>4604</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3238" t="s">
        <v>4696</v>
      </c>
      <c r="B290" s="3239"/>
      <c r="C290" s="3239"/>
      <c r="D290" s="3239"/>
      <c r="E290" s="3239"/>
      <c r="F290" s="3239"/>
      <c r="G290" s="3239"/>
      <c r="H290" s="3239"/>
      <c r="I290" s="3239"/>
      <c r="J290" s="3239"/>
      <c r="K290" s="3239"/>
      <c r="L290" s="3239"/>
      <c r="M290" s="3239"/>
      <c r="N290" s="3239"/>
      <c r="O290" s="3239"/>
      <c r="P290" s="3239"/>
      <c r="Q290" s="3240"/>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3165"/>
      <c r="B292" s="3166"/>
      <c r="C292" s="3166"/>
      <c r="D292" s="3166"/>
      <c r="E292" s="3166"/>
      <c r="F292" s="3166"/>
      <c r="G292" s="3166"/>
      <c r="H292" s="3166"/>
      <c r="I292" s="3166"/>
      <c r="J292" s="3166"/>
      <c r="K292" s="3166"/>
      <c r="L292" s="3166"/>
      <c r="M292" s="3166"/>
      <c r="N292" s="3166"/>
      <c r="O292" s="3166"/>
      <c r="P292" s="3166"/>
      <c r="Q292" s="3167"/>
    </row>
    <row r="293" spans="1:33" ht="13.9" customHeight="1">
      <c r="A293" s="1586" t="s">
        <v>4152</v>
      </c>
      <c r="B293" s="1586" t="s">
        <v>2682</v>
      </c>
      <c r="C293" s="153"/>
      <c r="D293" s="1598"/>
      <c r="E293" s="1592"/>
      <c r="F293" s="1592"/>
      <c r="G293" s="1592"/>
      <c r="H293" s="1592"/>
      <c r="I293" s="1592"/>
      <c r="J293" s="1592"/>
      <c r="K293" s="1592"/>
      <c r="L293" s="1592"/>
      <c r="M293" s="1592"/>
      <c r="O293" s="136" t="s">
        <v>1881</v>
      </c>
      <c r="P293" s="3122"/>
      <c r="Q293" s="3123"/>
    </row>
    <row r="294" spans="1:33" ht="12.75" customHeight="1">
      <c r="A294" s="15" t="s">
        <v>1999</v>
      </c>
      <c r="B294" s="1586" t="s">
        <v>4171</v>
      </c>
    </row>
    <row r="295" spans="1:33" s="152" customFormat="1" ht="44.25" customHeight="1">
      <c r="A295" s="146"/>
      <c r="B295" s="154" t="s">
        <v>1750</v>
      </c>
      <c r="C295" s="3204" t="s">
        <v>3942</v>
      </c>
      <c r="D295" s="3204"/>
      <c r="E295" s="3204"/>
      <c r="F295" s="3204"/>
      <c r="G295" s="3204"/>
      <c r="H295" s="3204"/>
      <c r="I295" s="3204"/>
      <c r="J295" s="3204"/>
      <c r="K295" s="3204"/>
      <c r="L295" s="3204"/>
      <c r="M295" s="3204"/>
      <c r="N295" s="3204"/>
      <c r="O295" s="166" t="s">
        <v>2744</v>
      </c>
      <c r="P295" s="2236" t="s">
        <v>3011</v>
      </c>
      <c r="Q295" s="1261"/>
      <c r="AE295" s="488"/>
      <c r="AF295" s="488"/>
    </row>
    <row r="296" spans="1:33" s="429" customFormat="1" ht="12" customHeight="1">
      <c r="A296" s="146"/>
      <c r="B296" s="154" t="s">
        <v>1751</v>
      </c>
      <c r="C296" s="3204" t="s">
        <v>3943</v>
      </c>
      <c r="D296" s="3204"/>
      <c r="E296" s="3204"/>
      <c r="F296" s="3204"/>
      <c r="G296" s="3204"/>
      <c r="H296" s="3204"/>
      <c r="I296" s="3204"/>
      <c r="J296" s="3204"/>
      <c r="K296" s="3204"/>
      <c r="L296" s="3204"/>
      <c r="M296" s="3204"/>
      <c r="N296" s="3204"/>
      <c r="O296" s="154" t="s">
        <v>1751</v>
      </c>
      <c r="P296" s="2262" t="s">
        <v>3011</v>
      </c>
      <c r="Q296" s="564"/>
      <c r="AE296" s="489"/>
      <c r="AF296" s="489"/>
    </row>
    <row r="297" spans="1:33" s="429" customFormat="1" ht="21.75" customHeight="1">
      <c r="A297" s="146"/>
      <c r="B297" s="166" t="s">
        <v>1752</v>
      </c>
      <c r="C297" s="3204" t="s">
        <v>3941</v>
      </c>
      <c r="D297" s="3204"/>
      <c r="E297" s="3204"/>
      <c r="F297" s="3204"/>
      <c r="G297" s="3204"/>
      <c r="H297" s="3204"/>
      <c r="I297" s="3204"/>
      <c r="J297" s="3204"/>
      <c r="K297" s="3204"/>
      <c r="L297" s="3204"/>
      <c r="M297" s="3204"/>
      <c r="N297" s="3204"/>
      <c r="O297" s="166" t="s">
        <v>1752</v>
      </c>
      <c r="P297" s="2249"/>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204" t="s">
        <v>3776</v>
      </c>
      <c r="D299" s="3204"/>
      <c r="E299" s="3204"/>
      <c r="F299" s="3204"/>
      <c r="G299" s="3204"/>
      <c r="H299" s="3204"/>
      <c r="I299" s="144"/>
      <c r="J299" s="3287" t="s">
        <v>3822</v>
      </c>
      <c r="K299" s="3288"/>
      <c r="L299" s="3288"/>
      <c r="M299" s="3289" t="s">
        <v>3789</v>
      </c>
      <c r="N299" s="3289"/>
      <c r="AE299" s="490"/>
      <c r="AF299" s="490"/>
    </row>
    <row r="300" spans="1:33" s="305" customFormat="1" ht="10.5" customHeight="1">
      <c r="A300" s="317"/>
      <c r="C300" s="3204"/>
      <c r="D300" s="3204"/>
      <c r="E300" s="3204"/>
      <c r="F300" s="3204"/>
      <c r="G300" s="3204"/>
      <c r="H300" s="3204"/>
      <c r="I300" s="1571"/>
      <c r="J300" s="3288"/>
      <c r="K300" s="3288"/>
      <c r="L300" s="3288"/>
      <c r="M300" s="37" t="s">
        <v>3790</v>
      </c>
      <c r="N300" s="1589" t="s">
        <v>3821</v>
      </c>
      <c r="P300" s="315"/>
    </row>
    <row r="301" spans="1:33" s="305" customFormat="1" ht="13.15" customHeight="1">
      <c r="A301" s="317"/>
      <c r="C301" s="3204"/>
      <c r="D301" s="3204"/>
      <c r="E301" s="3204"/>
      <c r="F301" s="3204"/>
      <c r="G301" s="3204"/>
      <c r="H301" s="3204"/>
      <c r="I301" s="53" t="s">
        <v>4172</v>
      </c>
      <c r="K301" s="2265">
        <v>7</v>
      </c>
      <c r="L301" s="1086" t="str">
        <f>IF(K301&lt;M301,"Check!!!","")</f>
        <v/>
      </c>
      <c r="M301" s="1087">
        <f>ROUNDUP('Part VI-Revenues &amp; Expenses'!$O$62*'Part VIII-Threshold Criteria'!N301,0)</f>
        <v>7</v>
      </c>
      <c r="N301" s="1092">
        <f>'DCA Underwriting Assumptions'!$Q$136</f>
        <v>0.05</v>
      </c>
      <c r="O301" s="484" t="s">
        <v>3664</v>
      </c>
      <c r="P301" s="220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3204" t="s">
        <v>3777</v>
      </c>
      <c r="D303" s="3204"/>
      <c r="E303" s="3204"/>
      <c r="F303" s="3204"/>
      <c r="G303" s="3204"/>
      <c r="H303" s="3204"/>
      <c r="I303" s="938" t="s">
        <v>4173</v>
      </c>
      <c r="J303" s="305"/>
      <c r="K303" s="2265">
        <v>3</v>
      </c>
      <c r="L303" s="1086" t="str">
        <f>IF(K303&lt;M303,"Check!!!","")</f>
        <v/>
      </c>
      <c r="M303" s="1087">
        <f>ROUNDUP(K301*'Part VIII-Threshold Criteria'!N303,0)</f>
        <v>3</v>
      </c>
      <c r="N303" s="1092">
        <f>'DCA Underwriting Assumptions'!$Q$137</f>
        <v>0.4</v>
      </c>
      <c r="O303" s="484" t="s">
        <v>2133</v>
      </c>
      <c r="P303" s="220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204"/>
      <c r="D304" s="3204"/>
      <c r="E304" s="3204"/>
      <c r="F304" s="3204"/>
      <c r="G304" s="3204"/>
      <c r="H304" s="3204"/>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204" t="s">
        <v>3778</v>
      </c>
      <c r="D305" s="3204"/>
      <c r="E305" s="3204"/>
      <c r="F305" s="3204"/>
      <c r="G305" s="3204"/>
      <c r="H305" s="3204"/>
      <c r="I305" s="53" t="s">
        <v>4174</v>
      </c>
      <c r="J305" s="305"/>
      <c r="K305" s="2265">
        <v>3</v>
      </c>
      <c r="L305" s="1086" t="str">
        <f>IF(K305&lt;M305,"Check!!!","")</f>
        <v/>
      </c>
      <c r="M305" s="1087">
        <f>ROUNDUP('Part VI-Revenues &amp; Expenses'!$O$62*'Part VIII-Threshold Criteria'!N305,0)</f>
        <v>3</v>
      </c>
      <c r="N305" s="1092">
        <f>'DCA Underwriting Assumptions'!$Q$138</f>
        <v>0.02</v>
      </c>
      <c r="O305" s="484" t="s">
        <v>1751</v>
      </c>
      <c r="P305" s="220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204"/>
      <c r="D306" s="3204"/>
      <c r="E306" s="3204"/>
      <c r="F306" s="3204"/>
      <c r="G306" s="3204"/>
      <c r="H306" s="3204"/>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3204"/>
      <c r="D307" s="3204"/>
      <c r="E307" s="3204"/>
      <c r="F307" s="3204"/>
      <c r="G307" s="3204"/>
      <c r="H307" s="3204"/>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3280" t="s">
        <v>3666</v>
      </c>
      <c r="C309" s="3280"/>
      <c r="D309" s="3280"/>
      <c r="E309" s="3280"/>
      <c r="F309" s="3280"/>
      <c r="G309" s="3280"/>
      <c r="H309" s="3280"/>
      <c r="I309" s="3280"/>
      <c r="J309" s="3280"/>
      <c r="K309" s="3280"/>
      <c r="L309" s="3280"/>
      <c r="M309" s="3280"/>
      <c r="N309" s="3280"/>
      <c r="O309" s="166" t="s">
        <v>757</v>
      </c>
      <c r="P309" s="2235" t="s">
        <v>3011</v>
      </c>
      <c r="Q309" s="1262"/>
      <c r="AE309" s="490"/>
      <c r="AF309" s="490"/>
    </row>
    <row r="310" spans="1:33" s="97" customFormat="1" ht="11.25" customHeight="1">
      <c r="B310" s="405" t="s">
        <v>3667</v>
      </c>
      <c r="D310" s="405"/>
      <c r="E310" s="405"/>
      <c r="F310" s="405"/>
      <c r="G310" s="405"/>
      <c r="H310" s="405"/>
      <c r="I310" s="405" t="s">
        <v>3788</v>
      </c>
      <c r="J310" s="405"/>
      <c r="K310" s="405"/>
      <c r="L310" s="3292" t="s">
        <v>4619</v>
      </c>
      <c r="M310" s="3293"/>
      <c r="N310" s="3294"/>
      <c r="O310" s="405"/>
      <c r="P310" s="405"/>
      <c r="Q310" s="405"/>
      <c r="R310" s="405"/>
      <c r="AE310" s="490"/>
      <c r="AF310" s="490"/>
    </row>
    <row r="311" spans="1:33" s="429" customFormat="1" ht="44.25" customHeight="1">
      <c r="B311" s="154" t="s">
        <v>1750</v>
      </c>
      <c r="C311" s="3204" t="s">
        <v>3665</v>
      </c>
      <c r="D311" s="3204"/>
      <c r="E311" s="3204"/>
      <c r="F311" s="3204"/>
      <c r="G311" s="3204"/>
      <c r="H311" s="3204"/>
      <c r="I311" s="3204"/>
      <c r="J311" s="3204"/>
      <c r="K311" s="3204"/>
      <c r="L311" s="3204"/>
      <c r="M311" s="3204"/>
      <c r="N311" s="3204"/>
      <c r="O311" s="166" t="s">
        <v>3670</v>
      </c>
      <c r="P311" s="2236" t="s">
        <v>3011</v>
      </c>
      <c r="Q311" s="1261"/>
      <c r="AE311" s="489"/>
      <c r="AF311" s="489"/>
    </row>
    <row r="312" spans="1:33" s="429" customFormat="1" ht="11.25" customHeight="1">
      <c r="B312" s="154" t="s">
        <v>1751</v>
      </c>
      <c r="C312" s="3204" t="s">
        <v>3710</v>
      </c>
      <c r="D312" s="3204"/>
      <c r="E312" s="3204"/>
      <c r="F312" s="3204"/>
      <c r="G312" s="3204"/>
      <c r="H312" s="3204"/>
      <c r="I312" s="3204"/>
      <c r="J312" s="3204"/>
      <c r="K312" s="3204"/>
      <c r="L312" s="3204"/>
      <c r="M312" s="3204"/>
      <c r="N312" s="3204"/>
      <c r="O312" s="166" t="s">
        <v>3671</v>
      </c>
      <c r="P312" s="2262" t="s">
        <v>3011</v>
      </c>
      <c r="Q312" s="564"/>
      <c r="AE312" s="489"/>
      <c r="AF312" s="489"/>
    </row>
    <row r="313" spans="1:33" s="429" customFormat="1" ht="34.5" customHeight="1">
      <c r="B313" s="166" t="s">
        <v>1752</v>
      </c>
      <c r="C313" s="3204" t="s">
        <v>3668</v>
      </c>
      <c r="D313" s="3204"/>
      <c r="E313" s="3204"/>
      <c r="F313" s="3204"/>
      <c r="G313" s="3204"/>
      <c r="H313" s="3204"/>
      <c r="I313" s="3204"/>
      <c r="J313" s="3204"/>
      <c r="K313" s="3204"/>
      <c r="L313" s="3204"/>
      <c r="M313" s="3204"/>
      <c r="N313" s="3204"/>
      <c r="O313" s="166" t="s">
        <v>3672</v>
      </c>
      <c r="P313" s="2262" t="s">
        <v>3011</v>
      </c>
      <c r="Q313" s="564"/>
      <c r="AE313" s="489"/>
      <c r="AF313" s="489"/>
    </row>
    <row r="314" spans="1:33" s="429" customFormat="1" ht="32.25" customHeight="1">
      <c r="B314" s="166" t="s">
        <v>2381</v>
      </c>
      <c r="C314" s="3204" t="s">
        <v>3669</v>
      </c>
      <c r="D314" s="3204"/>
      <c r="E314" s="3204"/>
      <c r="F314" s="3204"/>
      <c r="G314" s="3204"/>
      <c r="H314" s="3204"/>
      <c r="I314" s="3204"/>
      <c r="J314" s="3204"/>
      <c r="K314" s="3204"/>
      <c r="L314" s="3204"/>
      <c r="M314" s="3204"/>
      <c r="N314" s="3204"/>
      <c r="O314" s="166" t="s">
        <v>3673</v>
      </c>
      <c r="P314" s="2249" t="s">
        <v>3011</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238" t="s">
        <v>4620</v>
      </c>
      <c r="B316" s="3239"/>
      <c r="C316" s="3239"/>
      <c r="D316" s="3239"/>
      <c r="E316" s="3239"/>
      <c r="F316" s="3239"/>
      <c r="G316" s="3239"/>
      <c r="H316" s="3239"/>
      <c r="I316" s="3239"/>
      <c r="J316" s="3239"/>
      <c r="K316" s="3239"/>
      <c r="L316" s="3239"/>
      <c r="M316" s="3239"/>
      <c r="N316" s="3239"/>
      <c r="O316" s="3239"/>
      <c r="P316" s="3239"/>
      <c r="Q316" s="3240"/>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3251"/>
      <c r="B318" s="3252"/>
      <c r="C318" s="3252"/>
      <c r="D318" s="3252"/>
      <c r="E318" s="3252"/>
      <c r="F318" s="3252"/>
      <c r="G318" s="3252"/>
      <c r="H318" s="3252"/>
      <c r="I318" s="3252"/>
      <c r="J318" s="3252"/>
      <c r="K318" s="3252"/>
      <c r="L318" s="3252"/>
      <c r="M318" s="3252"/>
      <c r="N318" s="3252"/>
      <c r="O318" s="3252"/>
      <c r="P318" s="3252"/>
      <c r="Q318" s="3253"/>
    </row>
    <row r="319" spans="1:33" ht="13.9" customHeight="1">
      <c r="A319" s="1586" t="s">
        <v>4150</v>
      </c>
      <c r="B319" s="10" t="s">
        <v>2683</v>
      </c>
      <c r="C319" s="10"/>
      <c r="D319" s="10"/>
      <c r="E319" s="10"/>
      <c r="F319" s="10"/>
      <c r="G319" s="10"/>
      <c r="H319" s="1592"/>
      <c r="I319" s="1592"/>
      <c r="J319" s="1592"/>
      <c r="K319" s="1592"/>
      <c r="L319" s="1592"/>
      <c r="M319" s="1592"/>
      <c r="O319" s="136" t="s">
        <v>1881</v>
      </c>
      <c r="P319" s="3254"/>
      <c r="Q319" s="3255"/>
    </row>
    <row r="320" spans="1:33" ht="11.45" customHeight="1">
      <c r="B320" s="149" t="s">
        <v>2268</v>
      </c>
      <c r="P320" s="2193" t="s">
        <v>3014</v>
      </c>
      <c r="Q320" s="561"/>
    </row>
    <row r="321" spans="1:256 1523:1523" ht="12" customHeight="1">
      <c r="B321" s="932" t="s">
        <v>2227</v>
      </c>
      <c r="C321" s="932"/>
      <c r="D321" s="932"/>
      <c r="E321" s="932"/>
      <c r="F321" s="932"/>
      <c r="G321" s="932"/>
      <c r="H321" s="932"/>
      <c r="I321" s="932"/>
      <c r="J321" s="932"/>
      <c r="K321" s="932"/>
      <c r="L321" s="932"/>
      <c r="P321" s="2192"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3204" t="s">
        <v>2900</v>
      </c>
      <c r="C323" s="3204"/>
      <c r="D323" s="3204"/>
      <c r="E323" s="3204"/>
      <c r="F323" s="3204"/>
      <c r="G323" s="3204"/>
      <c r="H323" s="3204"/>
      <c r="I323" s="3204"/>
      <c r="J323" s="3204"/>
      <c r="K323" s="3204"/>
      <c r="L323" s="3204"/>
      <c r="M323" s="3204"/>
      <c r="N323" s="3204"/>
      <c r="O323" s="166" t="s">
        <v>1999</v>
      </c>
      <c r="P323" s="2266" t="s">
        <v>3011</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246" t="s">
        <v>3945</v>
      </c>
      <c r="H325" s="3247"/>
      <c r="I325" s="3247"/>
      <c r="J325" s="3247"/>
      <c r="K325" s="3247"/>
      <c r="L325" s="3247"/>
      <c r="M325" s="3247"/>
      <c r="N325" s="3248"/>
      <c r="O325" s="224" t="s">
        <v>1750</v>
      </c>
      <c r="P325" s="2236" t="s">
        <v>3011</v>
      </c>
      <c r="Q325" s="1261"/>
      <c r="BFO325" s="152" t="s">
        <v>2745</v>
      </c>
    </row>
    <row r="326" spans="1:256 1523:1523" ht="23.25" customHeight="1">
      <c r="B326" s="220" t="s">
        <v>1751</v>
      </c>
      <c r="C326" s="3204" t="s">
        <v>1142</v>
      </c>
      <c r="D326" s="3204"/>
      <c r="E326" s="3204"/>
      <c r="F326" s="3290"/>
      <c r="G326" s="3230" t="s">
        <v>2667</v>
      </c>
      <c r="H326" s="3249"/>
      <c r="I326" s="3249"/>
      <c r="J326" s="3249"/>
      <c r="K326" s="3249"/>
      <c r="L326" s="3249"/>
      <c r="M326" s="3249"/>
      <c r="N326" s="3250"/>
      <c r="O326" s="224" t="s">
        <v>1751</v>
      </c>
      <c r="P326" s="2249"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3291" t="s">
        <v>2689</v>
      </c>
      <c r="C328" s="3291"/>
      <c r="D328" s="3291"/>
      <c r="E328" s="3291"/>
      <c r="F328" s="3291"/>
      <c r="G328" s="3291"/>
      <c r="H328" s="3291"/>
      <c r="I328" s="3291"/>
      <c r="J328" s="3291"/>
      <c r="K328" s="3291"/>
      <c r="L328" s="3291"/>
      <c r="M328" s="3291"/>
      <c r="N328" s="3291"/>
      <c r="O328" s="459" t="s">
        <v>757</v>
      </c>
      <c r="P328" s="1585"/>
      <c r="Q328" s="955"/>
      <c r="AE328" s="487"/>
      <c r="AF328" s="487"/>
    </row>
    <row r="329" spans="1:256 1523:1523" s="137" customFormat="1" ht="11.25" customHeight="1">
      <c r="A329" s="148"/>
      <c r="B329" s="220" t="s">
        <v>1750</v>
      </c>
      <c r="C329" s="3218"/>
      <c r="D329" s="3219"/>
      <c r="E329" s="3219"/>
      <c r="F329" s="3219"/>
      <c r="G329" s="3219"/>
      <c r="H329" s="3219"/>
      <c r="I329" s="3219"/>
      <c r="J329" s="3219"/>
      <c r="K329" s="3219"/>
      <c r="L329" s="3219"/>
      <c r="M329" s="3219"/>
      <c r="N329" s="3220"/>
      <c r="O329" s="224" t="s">
        <v>1750</v>
      </c>
      <c r="P329" s="2236"/>
      <c r="Q329" s="1261"/>
      <c r="AE329" s="487"/>
      <c r="AF329" s="487"/>
    </row>
    <row r="330" spans="1:256 1523:1523" s="137" customFormat="1" ht="11.25" customHeight="1">
      <c r="A330" s="148"/>
      <c r="B330" s="220" t="s">
        <v>1751</v>
      </c>
      <c r="C330" s="3230"/>
      <c r="D330" s="3231"/>
      <c r="E330" s="3231"/>
      <c r="F330" s="3231"/>
      <c r="G330" s="3231"/>
      <c r="H330" s="3231"/>
      <c r="I330" s="3231"/>
      <c r="J330" s="3231"/>
      <c r="K330" s="3231"/>
      <c r="L330" s="3231"/>
      <c r="M330" s="3231"/>
      <c r="N330" s="3232"/>
      <c r="O330" s="224" t="s">
        <v>1751</v>
      </c>
      <c r="P330" s="2249"/>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238" t="s">
        <v>4713</v>
      </c>
      <c r="B333" s="3239"/>
      <c r="C333" s="3239"/>
      <c r="D333" s="3239"/>
      <c r="E333" s="3239"/>
      <c r="F333" s="3239"/>
      <c r="G333" s="3239"/>
      <c r="H333" s="3239"/>
      <c r="I333" s="3239"/>
      <c r="J333" s="3239"/>
      <c r="K333" s="3239"/>
      <c r="L333" s="3239"/>
      <c r="M333" s="3239"/>
      <c r="N333" s="3239"/>
      <c r="O333" s="3239"/>
      <c r="P333" s="3239"/>
      <c r="Q333" s="3240"/>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3165"/>
      <c r="B335" s="3166"/>
      <c r="C335" s="3166"/>
      <c r="D335" s="3166"/>
      <c r="E335" s="3166"/>
      <c r="F335" s="3166"/>
      <c r="G335" s="3166"/>
      <c r="H335" s="3166"/>
      <c r="I335" s="3166"/>
      <c r="J335" s="3166"/>
      <c r="K335" s="3166"/>
      <c r="L335" s="3166"/>
      <c r="M335" s="3166"/>
      <c r="N335" s="3166"/>
      <c r="O335" s="3166"/>
      <c r="P335" s="3166"/>
      <c r="Q335" s="3167"/>
    </row>
    <row r="336" spans="1:256 1523:1523" ht="13.9" customHeight="1">
      <c r="A336" s="1586" t="s">
        <v>4153</v>
      </c>
      <c r="B336" s="1586" t="s">
        <v>4192</v>
      </c>
      <c r="C336" s="1586"/>
      <c r="D336" s="1592"/>
      <c r="E336" s="1592"/>
      <c r="F336" s="1592"/>
      <c r="G336" s="1592"/>
      <c r="H336" s="1592"/>
      <c r="O336" s="136" t="s">
        <v>1881</v>
      </c>
      <c r="P336" s="3122"/>
      <c r="Q336" s="3123"/>
    </row>
    <row r="337" spans="1:31" ht="11.45" customHeight="1">
      <c r="A337" s="48" t="s">
        <v>1999</v>
      </c>
      <c r="B337" s="56" t="s">
        <v>3947</v>
      </c>
      <c r="O337" s="166" t="s">
        <v>1999</v>
      </c>
      <c r="P337" s="2209" t="s">
        <v>3011</v>
      </c>
      <c r="Q337" s="560"/>
    </row>
    <row r="338" spans="1:31" ht="11.45" customHeight="1">
      <c r="A338" s="146" t="s">
        <v>2001</v>
      </c>
      <c r="B338" s="56" t="s">
        <v>4137</v>
      </c>
      <c r="O338" s="166" t="s">
        <v>2001</v>
      </c>
      <c r="P338" s="2193" t="s">
        <v>3011</v>
      </c>
      <c r="Q338" s="561"/>
    </row>
    <row r="339" spans="1:31" ht="11.45" customHeight="1">
      <c r="A339" s="146" t="s">
        <v>757</v>
      </c>
      <c r="B339" s="149" t="s">
        <v>2366</v>
      </c>
      <c r="O339" s="166" t="s">
        <v>757</v>
      </c>
      <c r="P339" s="2196" t="s">
        <v>3014</v>
      </c>
      <c r="Q339" s="562"/>
    </row>
    <row r="340" spans="1:31" ht="11.45" customHeight="1">
      <c r="A340" s="48" t="s">
        <v>2131</v>
      </c>
      <c r="B340" s="56" t="s">
        <v>3871</v>
      </c>
      <c r="O340" s="484" t="s">
        <v>2131</v>
      </c>
      <c r="P340" s="2192" t="s">
        <v>3014</v>
      </c>
      <c r="Q340" s="563"/>
    </row>
    <row r="341" spans="1:31" ht="11.45" customHeight="1">
      <c r="A341" s="146" t="s">
        <v>1748</v>
      </c>
      <c r="B341" s="56" t="s">
        <v>2903</v>
      </c>
      <c r="N341" s="166" t="s">
        <v>1748</v>
      </c>
      <c r="O341" s="2477" t="s">
        <v>3865</v>
      </c>
      <c r="P341" s="2478"/>
      <c r="Q341" s="2479"/>
    </row>
    <row r="342" spans="1:31" ht="11.45" customHeight="1">
      <c r="A342" s="146" t="s">
        <v>1749</v>
      </c>
      <c r="B342" s="425" t="s">
        <v>2367</v>
      </c>
      <c r="N342" s="166" t="s">
        <v>1749</v>
      </c>
      <c r="O342" s="3243" t="s">
        <v>2904</v>
      </c>
      <c r="P342" s="3244"/>
      <c r="Q342" s="324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238" t="s">
        <v>4659</v>
      </c>
      <c r="B344" s="3239"/>
      <c r="C344" s="3239"/>
      <c r="D344" s="3239"/>
      <c r="E344" s="3239"/>
      <c r="F344" s="3239"/>
      <c r="G344" s="3239"/>
      <c r="H344" s="3239"/>
      <c r="I344" s="3239"/>
      <c r="J344" s="3239"/>
      <c r="K344" s="3239"/>
      <c r="L344" s="3239"/>
      <c r="M344" s="3239"/>
      <c r="N344" s="3239"/>
      <c r="O344" s="3239"/>
      <c r="P344" s="3239"/>
      <c r="Q344" s="3240"/>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3165"/>
      <c r="B346" s="3166"/>
      <c r="C346" s="3166"/>
      <c r="D346" s="3166"/>
      <c r="E346" s="3166"/>
      <c r="F346" s="3166"/>
      <c r="G346" s="3166"/>
      <c r="H346" s="3166"/>
      <c r="I346" s="3166"/>
      <c r="J346" s="3166"/>
      <c r="K346" s="3166"/>
      <c r="L346" s="3166"/>
      <c r="M346" s="3166"/>
      <c r="N346" s="3166"/>
      <c r="O346" s="3166"/>
      <c r="P346" s="3166"/>
      <c r="Q346" s="3167"/>
    </row>
    <row r="347" spans="1:31" ht="13.9" customHeight="1">
      <c r="A347" s="1586" t="s">
        <v>4154</v>
      </c>
      <c r="B347" s="4" t="s">
        <v>2684</v>
      </c>
      <c r="C347" s="4"/>
      <c r="D347" s="89"/>
      <c r="E347" s="1592"/>
      <c r="F347" s="1592"/>
      <c r="G347" s="1592"/>
      <c r="H347" s="1592"/>
      <c r="I347" s="1592"/>
      <c r="J347" s="1592"/>
      <c r="K347" s="1592"/>
      <c r="L347" s="1592"/>
      <c r="M347" s="1592"/>
      <c r="O347" s="136" t="s">
        <v>1881</v>
      </c>
      <c r="P347" s="3122"/>
      <c r="Q347" s="3123"/>
    </row>
    <row r="348" spans="1:31" ht="12.75" customHeight="1">
      <c r="A348" s="146" t="s">
        <v>1999</v>
      </c>
      <c r="B348" s="144" t="s">
        <v>3682</v>
      </c>
      <c r="D348" s="144"/>
      <c r="E348" s="144"/>
      <c r="F348" s="144"/>
      <c r="G348" s="144"/>
      <c r="H348" s="144"/>
      <c r="I348" s="144"/>
      <c r="J348" s="144"/>
      <c r="K348" s="144"/>
      <c r="L348" s="144"/>
      <c r="M348" s="144"/>
      <c r="N348" s="144"/>
      <c r="O348" s="166" t="s">
        <v>1999</v>
      </c>
      <c r="P348" s="2193"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196" t="s">
        <v>3014</v>
      </c>
      <c r="Q349" s="562"/>
    </row>
    <row r="350" spans="1:31" ht="22.5" customHeight="1">
      <c r="A350" s="146" t="s">
        <v>757</v>
      </c>
      <c r="B350" s="3204" t="s">
        <v>4138</v>
      </c>
      <c r="C350" s="3204"/>
      <c r="D350" s="3204"/>
      <c r="E350" s="3204"/>
      <c r="F350" s="3204"/>
      <c r="G350" s="3204"/>
      <c r="H350" s="3204"/>
      <c r="I350" s="3204"/>
      <c r="J350" s="3204"/>
      <c r="K350" s="3204"/>
      <c r="L350" s="3204"/>
      <c r="M350" s="3204"/>
      <c r="N350" s="3204"/>
      <c r="O350" s="166" t="s">
        <v>757</v>
      </c>
      <c r="P350" s="2192" t="s">
        <v>3011</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238" t="s">
        <v>4621</v>
      </c>
      <c r="B352" s="3239"/>
      <c r="C352" s="3239"/>
      <c r="D352" s="3239"/>
      <c r="E352" s="3239"/>
      <c r="F352" s="3239"/>
      <c r="G352" s="3239"/>
      <c r="H352" s="3239"/>
      <c r="I352" s="3239"/>
      <c r="J352" s="3239"/>
      <c r="K352" s="3239"/>
      <c r="L352" s="3239"/>
      <c r="M352" s="3239"/>
      <c r="N352" s="3239"/>
      <c r="O352" s="3239"/>
      <c r="P352" s="3239"/>
      <c r="Q352" s="3240"/>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3165"/>
      <c r="B354" s="3166"/>
      <c r="C354" s="3166"/>
      <c r="D354" s="3166"/>
      <c r="E354" s="3166"/>
      <c r="F354" s="3166"/>
      <c r="G354" s="3166"/>
      <c r="H354" s="3166"/>
      <c r="I354" s="3166"/>
      <c r="J354" s="3166"/>
      <c r="K354" s="3166"/>
      <c r="L354" s="3166"/>
      <c r="M354" s="3166"/>
      <c r="N354" s="3166"/>
      <c r="O354" s="3166"/>
      <c r="P354" s="3166"/>
      <c r="Q354" s="3167"/>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4157</v>
      </c>
      <c r="B356" s="4" t="s">
        <v>4124</v>
      </c>
      <c r="C356" s="4"/>
      <c r="D356" s="4"/>
      <c r="E356" s="4"/>
      <c r="F356" s="4"/>
      <c r="G356" s="4"/>
      <c r="H356" s="1592"/>
      <c r="I356" s="1592"/>
      <c r="J356" s="1592"/>
      <c r="K356" s="1592"/>
      <c r="L356" s="1592"/>
      <c r="M356" s="1592"/>
      <c r="O356" s="136" t="s">
        <v>1881</v>
      </c>
      <c r="P356" s="3256"/>
      <c r="Q356" s="3123"/>
    </row>
    <row r="357" spans="1:32" ht="10.5" customHeight="1">
      <c r="A357" s="48" t="s">
        <v>1999</v>
      </c>
      <c r="B357" s="139" t="s">
        <v>4125</v>
      </c>
      <c r="D357" s="155"/>
      <c r="E357" s="155"/>
      <c r="F357" s="155"/>
      <c r="G357" s="155"/>
      <c r="H357" s="484" t="s">
        <v>1999</v>
      </c>
      <c r="I357" s="3188"/>
      <c r="J357" s="3189"/>
      <c r="K357" s="3189"/>
      <c r="L357" s="3189"/>
      <c r="M357" s="3189"/>
      <c r="N357" s="3189"/>
      <c r="O357" s="3189"/>
      <c r="P357" s="3190"/>
      <c r="Q357" s="559"/>
    </row>
    <row r="358" spans="1:32" ht="10.5" customHeight="1">
      <c r="A358" s="146" t="s">
        <v>2001</v>
      </c>
      <c r="B358" s="139" t="s">
        <v>4126</v>
      </c>
      <c r="D358" s="155"/>
      <c r="E358" s="155"/>
      <c r="F358" s="155"/>
      <c r="G358" s="155"/>
      <c r="H358" s="166" t="s">
        <v>2001</v>
      </c>
      <c r="I358" s="3188"/>
      <c r="J358" s="3189"/>
      <c r="K358" s="3189"/>
      <c r="L358" s="3189"/>
      <c r="M358" s="3189"/>
      <c r="N358" s="3189"/>
      <c r="O358" s="3189"/>
      <c r="P358" s="3190"/>
      <c r="Q358" s="559"/>
    </row>
    <row r="359" spans="1:32" ht="21.75" customHeight="1">
      <c r="A359" s="146" t="s">
        <v>757</v>
      </c>
      <c r="B359" s="3258" t="s">
        <v>4116</v>
      </c>
      <c r="C359" s="3258"/>
      <c r="D359" s="3258"/>
      <c r="E359" s="3258"/>
      <c r="F359" s="3258"/>
      <c r="G359" s="3258"/>
      <c r="H359" s="3258"/>
      <c r="I359" s="3258"/>
      <c r="J359" s="3258"/>
      <c r="K359" s="3258"/>
      <c r="L359" s="3258"/>
      <c r="M359" s="3258"/>
      <c r="N359" s="3258"/>
      <c r="O359" s="166" t="s">
        <v>757</v>
      </c>
      <c r="P359" s="2253"/>
      <c r="Q359" s="1261"/>
    </row>
    <row r="360" spans="1:32" ht="21.75" customHeight="1">
      <c r="A360" s="146" t="s">
        <v>2131</v>
      </c>
      <c r="B360" s="3204" t="s">
        <v>4117</v>
      </c>
      <c r="C360" s="3204"/>
      <c r="D360" s="3204"/>
      <c r="E360" s="3204"/>
      <c r="F360" s="3204"/>
      <c r="G360" s="3204"/>
      <c r="H360" s="3204"/>
      <c r="I360" s="3204"/>
      <c r="J360" s="3204"/>
      <c r="K360" s="3204"/>
      <c r="L360" s="3204"/>
      <c r="M360" s="3204"/>
      <c r="N360" s="3204"/>
      <c r="O360" s="484" t="s">
        <v>2131</v>
      </c>
      <c r="P360" s="2262"/>
      <c r="Q360" s="564"/>
    </row>
    <row r="361" spans="1:32" ht="10.5" customHeight="1">
      <c r="A361" s="146" t="s">
        <v>1748</v>
      </c>
      <c r="B361" s="53" t="s">
        <v>4118</v>
      </c>
      <c r="D361" s="53"/>
      <c r="E361" s="53"/>
      <c r="F361" s="53"/>
      <c r="G361" s="53"/>
      <c r="H361" s="53"/>
      <c r="I361" s="53"/>
      <c r="J361" s="53"/>
      <c r="K361" s="53"/>
      <c r="L361" s="53"/>
      <c r="M361" s="53"/>
      <c r="O361" s="166" t="s">
        <v>1748</v>
      </c>
      <c r="P361" s="2196"/>
      <c r="Q361" s="562"/>
    </row>
    <row r="362" spans="1:32" s="137" customFormat="1" ht="21.75" customHeight="1">
      <c r="A362" s="146" t="s">
        <v>1749</v>
      </c>
      <c r="B362" s="3204" t="s">
        <v>4119</v>
      </c>
      <c r="C362" s="3204"/>
      <c r="D362" s="3204"/>
      <c r="E362" s="3204"/>
      <c r="F362" s="3204"/>
      <c r="G362" s="3204"/>
      <c r="H362" s="3204"/>
      <c r="I362" s="3204"/>
      <c r="J362" s="3204"/>
      <c r="K362" s="3204"/>
      <c r="L362" s="3204"/>
      <c r="M362" s="3204"/>
      <c r="N362" s="3204"/>
      <c r="O362" s="166" t="s">
        <v>1749</v>
      </c>
      <c r="P362" s="2267"/>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2236"/>
      <c r="Q363" s="1261"/>
      <c r="AE363" s="487"/>
      <c r="AF363" s="487"/>
    </row>
    <row r="364" spans="1:32" s="137" customFormat="1" ht="10.5" customHeight="1">
      <c r="C364" s="932" t="s">
        <v>3860</v>
      </c>
      <c r="E364" s="1592"/>
      <c r="F364" s="1592"/>
      <c r="G364" s="1592"/>
      <c r="H364" s="1592"/>
      <c r="I364" s="1592"/>
      <c r="J364" s="1592"/>
      <c r="K364" s="1592"/>
      <c r="L364" s="1592"/>
      <c r="M364" s="1592"/>
      <c r="N364" s="1592"/>
      <c r="P364" s="2249"/>
      <c r="Q364" s="1282"/>
      <c r="AE364" s="487"/>
      <c r="AF364" s="487"/>
    </row>
    <row r="365" spans="1:32" ht="21.75" customHeight="1">
      <c r="A365" s="146" t="s">
        <v>3392</v>
      </c>
      <c r="B365" s="3204" t="s">
        <v>4121</v>
      </c>
      <c r="C365" s="3204"/>
      <c r="D365" s="3204"/>
      <c r="E365" s="3204"/>
      <c r="F365" s="3204"/>
      <c r="G365" s="3204"/>
      <c r="H365" s="3204"/>
      <c r="I365" s="3204"/>
      <c r="J365" s="3204"/>
      <c r="K365" s="3204"/>
      <c r="L365" s="3204"/>
      <c r="M365" s="3204"/>
      <c r="N365" s="3204"/>
      <c r="O365" s="166" t="s">
        <v>3392</v>
      </c>
      <c r="P365" s="2236"/>
      <c r="Q365" s="1261"/>
    </row>
    <row r="366" spans="1:32" ht="33" customHeight="1">
      <c r="A366" s="146" t="s">
        <v>622</v>
      </c>
      <c r="B366" s="3204" t="s">
        <v>4122</v>
      </c>
      <c r="C366" s="3204"/>
      <c r="D366" s="3204"/>
      <c r="E366" s="3204"/>
      <c r="F366" s="3204"/>
      <c r="G366" s="3204"/>
      <c r="H366" s="3204"/>
      <c r="I366" s="3204"/>
      <c r="J366" s="3204"/>
      <c r="K366" s="3204"/>
      <c r="L366" s="3204"/>
      <c r="M366" s="3204"/>
      <c r="N366" s="3204"/>
      <c r="O366" s="166" t="s">
        <v>622</v>
      </c>
      <c r="P366" s="2249"/>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06"/>
      <c r="B368" s="3107"/>
      <c r="C368" s="3107"/>
      <c r="D368" s="3107"/>
      <c r="E368" s="3107"/>
      <c r="F368" s="3107"/>
      <c r="G368" s="3107"/>
      <c r="H368" s="3107"/>
      <c r="I368" s="3107"/>
      <c r="J368" s="3107"/>
      <c r="K368" s="3107"/>
      <c r="L368" s="3107"/>
      <c r="M368" s="3107"/>
      <c r="N368" s="3107"/>
      <c r="O368" s="3107"/>
      <c r="P368" s="3107"/>
      <c r="Q368" s="3108"/>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3165"/>
      <c r="B370" s="3166"/>
      <c r="C370" s="3166"/>
      <c r="D370" s="3166"/>
      <c r="E370" s="3166"/>
      <c r="F370" s="3166"/>
      <c r="G370" s="3166"/>
      <c r="H370" s="3166"/>
      <c r="I370" s="3166"/>
      <c r="J370" s="3166"/>
      <c r="K370" s="3166"/>
      <c r="L370" s="3166"/>
      <c r="M370" s="3166"/>
      <c r="N370" s="3166"/>
      <c r="O370" s="3166"/>
      <c r="P370" s="3166"/>
      <c r="Q370" s="3167"/>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4158</v>
      </c>
      <c r="B372" s="4" t="s">
        <v>3948</v>
      </c>
      <c r="C372" s="4"/>
      <c r="D372" s="4"/>
      <c r="E372" s="4"/>
      <c r="F372" s="4"/>
      <c r="G372" s="4"/>
      <c r="H372" s="1592"/>
      <c r="I372" s="1592"/>
      <c r="J372" s="1592"/>
      <c r="O372" s="136" t="s">
        <v>1881</v>
      </c>
      <c r="P372" s="3122"/>
      <c r="Q372" s="3123"/>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59" t="s">
        <v>4175</v>
      </c>
      <c r="D374" s="3259"/>
      <c r="E374" s="3259"/>
      <c r="F374" s="3260"/>
      <c r="G374" s="3188"/>
      <c r="H374" s="3189"/>
      <c r="I374" s="3190"/>
      <c r="J374" s="1589" t="s">
        <v>3957</v>
      </c>
      <c r="K374" s="3188"/>
      <c r="L374" s="3189"/>
      <c r="M374" s="3190"/>
      <c r="N374" s="3101" t="s">
        <v>3949</v>
      </c>
      <c r="O374" s="3103"/>
      <c r="P374" s="3261"/>
      <c r="Q374" s="3262"/>
      <c r="AE374" s="51"/>
      <c r="AF374" s="51"/>
    </row>
    <row r="375" spans="1:32" s="43" customFormat="1" ht="10.5" customHeight="1">
      <c r="B375" s="37" t="s">
        <v>1751</v>
      </c>
      <c r="C375" s="53" t="s">
        <v>3951</v>
      </c>
      <c r="I375" s="484" t="s">
        <v>1751</v>
      </c>
      <c r="J375" s="3265"/>
      <c r="K375" s="3266"/>
      <c r="AE375" s="51"/>
      <c r="AF375" s="51"/>
    </row>
    <row r="376" spans="1:32" s="43" customFormat="1" ht="10.5" customHeight="1">
      <c r="A376" s="48"/>
      <c r="B376" s="37" t="s">
        <v>1752</v>
      </c>
      <c r="C376" s="53" t="s">
        <v>3952</v>
      </c>
      <c r="D376" s="47"/>
      <c r="E376" s="138"/>
      <c r="F376" s="3269" t="str">
        <f>'Part I-Project Information'!K40</f>
        <v>Urban</v>
      </c>
      <c r="G376" s="3270"/>
      <c r="H376" s="1594" t="s">
        <v>3953</v>
      </c>
      <c r="I376" s="138"/>
      <c r="J376" s="138"/>
      <c r="K376" s="138"/>
      <c r="L376" s="138"/>
      <c r="M376" s="138"/>
      <c r="N376" s="138"/>
      <c r="O376" s="484" t="s">
        <v>1752</v>
      </c>
      <c r="P376" s="2193"/>
      <c r="Q376" s="561"/>
      <c r="AE376" s="51"/>
      <c r="AF376" s="51"/>
    </row>
    <row r="377" spans="1:32" s="43" customFormat="1" ht="10.5" customHeight="1">
      <c r="A377" s="48"/>
      <c r="B377" s="37" t="s">
        <v>2381</v>
      </c>
      <c r="C377" s="53" t="s">
        <v>3954</v>
      </c>
      <c r="E377" s="138"/>
      <c r="F377" s="138"/>
      <c r="G377" s="138"/>
      <c r="H377" s="138"/>
      <c r="I377" s="138"/>
      <c r="J377" s="3263"/>
      <c r="K377" s="3264"/>
      <c r="L377" s="3271"/>
      <c r="M377" s="3272"/>
      <c r="N377" s="53" t="s">
        <v>3964</v>
      </c>
      <c r="O377" s="484"/>
      <c r="P377" s="2196"/>
      <c r="Q377" s="562"/>
      <c r="AE377" s="51"/>
      <c r="AF377" s="51"/>
    </row>
    <row r="378" spans="1:32" s="43" customFormat="1" ht="10.5" customHeight="1">
      <c r="A378" s="48"/>
      <c r="B378" s="37" t="s">
        <v>1561</v>
      </c>
      <c r="C378" s="53" t="s">
        <v>3955</v>
      </c>
      <c r="E378" s="53"/>
      <c r="F378" s="3267">
        <f>'Part IV-A-Uses of Funds'!J173</f>
        <v>940000</v>
      </c>
      <c r="G378" s="3268"/>
      <c r="H378" s="53" t="s">
        <v>3956</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3958</v>
      </c>
      <c r="E379" s="53"/>
      <c r="F379" s="53"/>
      <c r="G379" s="53"/>
      <c r="H379" s="53" t="s">
        <v>3618</v>
      </c>
      <c r="I379" s="53"/>
      <c r="J379" s="3263"/>
      <c r="K379" s="3264"/>
      <c r="L379" s="53" t="s">
        <v>3959</v>
      </c>
      <c r="M379" s="3271"/>
      <c r="N379" s="3272"/>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3257" t="s">
        <v>3966</v>
      </c>
      <c r="K382" s="3257"/>
      <c r="L382" s="3257"/>
      <c r="M382" s="3257"/>
      <c r="N382" s="3152" t="s">
        <v>3963</v>
      </c>
      <c r="O382" s="3152"/>
      <c r="P382" s="138"/>
      <c r="Q382" s="138"/>
      <c r="R382" s="138"/>
      <c r="AE382" s="51"/>
      <c r="AF382" s="51"/>
    </row>
    <row r="383" spans="1:32" s="43" customFormat="1" ht="10.5" customHeight="1">
      <c r="B383" s="37" t="s">
        <v>1750</v>
      </c>
      <c r="C383" s="956" t="s">
        <v>3962</v>
      </c>
      <c r="E383" s="1594"/>
      <c r="F383" s="1594"/>
      <c r="G383" s="1594"/>
      <c r="H383" s="1594"/>
      <c r="J383" s="3273"/>
      <c r="K383" s="3274"/>
      <c r="L383" s="3275"/>
      <c r="M383" s="3276"/>
      <c r="N383" s="1208" t="str">
        <f>IF(J383="","",J377/J383)</f>
        <v/>
      </c>
      <c r="O383" s="1209" t="str">
        <f>IF(L383="","",L377/L383)</f>
        <v/>
      </c>
      <c r="P383" s="2193"/>
      <c r="Q383" s="561"/>
      <c r="AE383" s="51"/>
      <c r="AF383" s="51"/>
    </row>
    <row r="384" spans="1:32" s="43" customFormat="1" ht="10.5" customHeight="1">
      <c r="B384" s="37" t="s">
        <v>1751</v>
      </c>
      <c r="C384" s="53" t="s">
        <v>3965</v>
      </c>
      <c r="E384" s="138"/>
      <c r="F384" s="138"/>
      <c r="G384" s="138"/>
      <c r="H384" s="138"/>
      <c r="N384" s="138"/>
      <c r="O384" s="484" t="s">
        <v>1751</v>
      </c>
      <c r="P384" s="2268"/>
      <c r="Q384" s="1454"/>
      <c r="AE384" s="51"/>
      <c r="AF384" s="51"/>
    </row>
    <row r="385" spans="1:32" s="43" customFormat="1" ht="10.5" customHeight="1">
      <c r="B385" s="37" t="s">
        <v>1752</v>
      </c>
      <c r="C385" s="53" t="s">
        <v>3967</v>
      </c>
      <c r="E385" s="138"/>
      <c r="F385" s="138"/>
      <c r="G385" s="138"/>
      <c r="H385" s="138"/>
      <c r="M385" s="138"/>
      <c r="N385" s="138"/>
      <c r="O385" s="484" t="s">
        <v>1752</v>
      </c>
      <c r="P385" s="2192"/>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06"/>
      <c r="B387" s="3107"/>
      <c r="C387" s="3107"/>
      <c r="D387" s="3107"/>
      <c r="E387" s="3107"/>
      <c r="F387" s="3107"/>
      <c r="G387" s="3107"/>
      <c r="H387" s="3107"/>
      <c r="I387" s="3107"/>
      <c r="J387" s="3107"/>
      <c r="K387" s="3107"/>
      <c r="L387" s="3107"/>
      <c r="M387" s="3107"/>
      <c r="N387" s="3107"/>
      <c r="O387" s="3107"/>
      <c r="P387" s="3107"/>
      <c r="Q387" s="3108"/>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3165"/>
      <c r="B389" s="3166"/>
      <c r="C389" s="3166"/>
      <c r="D389" s="3166"/>
      <c r="E389" s="3166"/>
      <c r="F389" s="3166"/>
      <c r="G389" s="3166"/>
      <c r="H389" s="3166"/>
      <c r="I389" s="3166"/>
      <c r="J389" s="3166"/>
      <c r="K389" s="3166"/>
      <c r="L389" s="3166"/>
      <c r="M389" s="3166"/>
      <c r="N389" s="3166"/>
      <c r="O389" s="3166"/>
      <c r="P389" s="3166"/>
      <c r="Q389" s="3167"/>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4159</v>
      </c>
      <c r="B392" s="4" t="s">
        <v>2701</v>
      </c>
      <c r="C392" s="4"/>
      <c r="D392" s="4"/>
      <c r="E392" s="4"/>
      <c r="F392" s="4"/>
      <c r="G392" s="4"/>
      <c r="H392" s="1592"/>
      <c r="I392" s="1592"/>
      <c r="J392" s="1592"/>
      <c r="O392" s="136" t="s">
        <v>1881</v>
      </c>
      <c r="P392" s="3122"/>
      <c r="Q392" s="3123"/>
    </row>
    <row r="393" spans="1:32" ht="11.45" customHeight="1">
      <c r="A393" s="48" t="s">
        <v>1999</v>
      </c>
      <c r="B393" s="121" t="s">
        <v>1044</v>
      </c>
      <c r="E393" s="3098" t="s">
        <v>4636</v>
      </c>
      <c r="F393" s="3099"/>
      <c r="G393" s="3099"/>
      <c r="H393" s="3099"/>
      <c r="I393" s="3100"/>
      <c r="J393" s="3101" t="s">
        <v>2688</v>
      </c>
      <c r="K393" s="3102"/>
      <c r="L393" s="3103"/>
      <c r="M393" s="3098" t="s">
        <v>4660</v>
      </c>
      <c r="N393" s="3099"/>
      <c r="O393" s="3099"/>
      <c r="P393" s="3099"/>
      <c r="Q393" s="3100"/>
    </row>
    <row r="394" spans="1:32" ht="11.45" customHeight="1">
      <c r="A394" s="48" t="s">
        <v>2001</v>
      </c>
      <c r="B394" s="53" t="s">
        <v>3487</v>
      </c>
      <c r="D394" s="53"/>
      <c r="E394" s="53"/>
      <c r="F394" s="53"/>
      <c r="G394" s="53"/>
      <c r="H394" s="53"/>
      <c r="I394" s="53"/>
      <c r="J394" s="53"/>
      <c r="K394" s="53"/>
      <c r="L394" s="956"/>
      <c r="M394" s="956"/>
      <c r="O394" s="484" t="s">
        <v>2001</v>
      </c>
      <c r="P394" s="2193" t="s">
        <v>3011</v>
      </c>
      <c r="Q394" s="561"/>
    </row>
    <row r="395" spans="1:32" ht="22.5" customHeight="1">
      <c r="A395" s="146" t="s">
        <v>757</v>
      </c>
      <c r="B395" s="3204" t="s">
        <v>3497</v>
      </c>
      <c r="C395" s="3204"/>
      <c r="D395" s="3204"/>
      <c r="E395" s="3204"/>
      <c r="F395" s="3204"/>
      <c r="G395" s="3204"/>
      <c r="H395" s="3204"/>
      <c r="I395" s="3204"/>
      <c r="J395" s="3204"/>
      <c r="K395" s="3204"/>
      <c r="L395" s="3204"/>
      <c r="M395" s="3204"/>
      <c r="N395" s="3204"/>
      <c r="O395" s="166" t="s">
        <v>757</v>
      </c>
      <c r="P395" s="2262" t="s">
        <v>3011</v>
      </c>
      <c r="Q395" s="564"/>
    </row>
    <row r="396" spans="1:32">
      <c r="A396" s="48" t="s">
        <v>2131</v>
      </c>
      <c r="B396" s="56" t="s">
        <v>3725</v>
      </c>
      <c r="G396" s="1594"/>
      <c r="H396" s="1594"/>
      <c r="I396" s="1594"/>
      <c r="J396" s="956" t="s">
        <v>3726</v>
      </c>
      <c r="L396" s="1594"/>
      <c r="M396" s="3104">
        <f>'Part III-Sources of Funds'!E11</f>
        <v>2000000</v>
      </c>
      <c r="N396" s="3105"/>
      <c r="O396" s="484" t="s">
        <v>2131</v>
      </c>
      <c r="P396" s="2192" t="s">
        <v>3011</v>
      </c>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06" t="s">
        <v>4661</v>
      </c>
      <c r="B398" s="3107"/>
      <c r="C398" s="3107"/>
      <c r="D398" s="3107"/>
      <c r="E398" s="3107"/>
      <c r="F398" s="3107"/>
      <c r="G398" s="3107"/>
      <c r="H398" s="3107"/>
      <c r="I398" s="3107"/>
      <c r="J398" s="3107"/>
      <c r="K398" s="3107"/>
      <c r="L398" s="3107"/>
      <c r="M398" s="3107"/>
      <c r="N398" s="3107"/>
      <c r="O398" s="3107"/>
      <c r="P398" s="3107"/>
      <c r="Q398" s="3108"/>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3165"/>
      <c r="B400" s="3166"/>
      <c r="C400" s="3166"/>
      <c r="D400" s="3166"/>
      <c r="E400" s="3166"/>
      <c r="F400" s="3166"/>
      <c r="G400" s="3166"/>
      <c r="H400" s="3166"/>
      <c r="I400" s="3166"/>
      <c r="J400" s="3166"/>
      <c r="K400" s="3166"/>
      <c r="L400" s="3166"/>
      <c r="M400" s="3166"/>
      <c r="N400" s="3166"/>
      <c r="O400" s="3166"/>
      <c r="P400" s="3166"/>
      <c r="Q400" s="3167"/>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4160</v>
      </c>
      <c r="B402" s="4" t="s">
        <v>2685</v>
      </c>
      <c r="C402" s="4"/>
      <c r="D402" s="4"/>
      <c r="E402" s="1592"/>
      <c r="G402" s="144" t="s">
        <v>708</v>
      </c>
      <c r="H402" s="1592"/>
      <c r="I402" s="1592"/>
      <c r="J402" s="1592"/>
      <c r="K402" s="1592"/>
      <c r="L402" s="1592"/>
      <c r="M402" s="1592"/>
      <c r="O402" s="136" t="s">
        <v>1881</v>
      </c>
      <c r="P402" s="3122"/>
      <c r="Q402" s="3295"/>
    </row>
    <row r="403" spans="1:31" ht="12" customHeight="1">
      <c r="A403" s="48" t="s">
        <v>1999</v>
      </c>
      <c r="B403" s="53" t="s">
        <v>2690</v>
      </c>
      <c r="D403" s="957"/>
      <c r="E403" s="957"/>
      <c r="H403" s="144"/>
      <c r="O403" s="484" t="s">
        <v>1999</v>
      </c>
      <c r="P403" s="2193" t="s">
        <v>3014</v>
      </c>
      <c r="Q403" s="561"/>
    </row>
    <row r="404" spans="1:31" ht="12" customHeight="1">
      <c r="A404" s="48" t="s">
        <v>2001</v>
      </c>
      <c r="B404" s="53" t="s">
        <v>3608</v>
      </c>
      <c r="D404" s="957"/>
      <c r="E404" s="957"/>
      <c r="O404" s="484" t="s">
        <v>2001</v>
      </c>
      <c r="P404" s="2196" t="s">
        <v>3014</v>
      </c>
      <c r="Q404" s="562"/>
    </row>
    <row r="405" spans="1:31" ht="12" customHeight="1">
      <c r="A405" s="48" t="s">
        <v>757</v>
      </c>
      <c r="B405" s="53" t="s">
        <v>4123</v>
      </c>
      <c r="D405" s="957"/>
      <c r="E405" s="957"/>
      <c r="O405" s="484" t="s">
        <v>757</v>
      </c>
      <c r="P405" s="2196" t="s">
        <v>3014</v>
      </c>
      <c r="Q405" s="562"/>
    </row>
    <row r="406" spans="1:31" ht="12" customHeight="1">
      <c r="A406" s="48" t="s">
        <v>2131</v>
      </c>
      <c r="B406" s="53" t="s">
        <v>3609</v>
      </c>
      <c r="E406" s="144"/>
      <c r="O406" s="484" t="s">
        <v>2131</v>
      </c>
      <c r="P406" s="2196" t="s">
        <v>3014</v>
      </c>
      <c r="Q406" s="562"/>
    </row>
    <row r="407" spans="1:31" ht="12" customHeight="1">
      <c r="A407" s="48" t="s">
        <v>1748</v>
      </c>
      <c r="B407" s="53" t="s">
        <v>2095</v>
      </c>
      <c r="E407" s="144"/>
      <c r="G407" s="484" t="s">
        <v>1748</v>
      </c>
      <c r="H407" s="3296"/>
      <c r="I407" s="3297"/>
      <c r="J407" s="3297"/>
      <c r="K407" s="3297"/>
      <c r="L407" s="3297"/>
      <c r="M407" s="3297"/>
      <c r="N407" s="3297"/>
      <c r="O407" s="3298"/>
      <c r="P407" s="2192"/>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06"/>
      <c r="B409" s="3107"/>
      <c r="C409" s="3107"/>
      <c r="D409" s="3107"/>
      <c r="E409" s="3107"/>
      <c r="F409" s="3107"/>
      <c r="G409" s="3107"/>
      <c r="H409" s="3107"/>
      <c r="I409" s="3107"/>
      <c r="J409" s="3107"/>
      <c r="K409" s="3107"/>
      <c r="L409" s="3107"/>
      <c r="M409" s="3107"/>
      <c r="N409" s="3107"/>
      <c r="O409" s="3107"/>
      <c r="P409" s="3107"/>
      <c r="Q409" s="3108"/>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3165"/>
      <c r="B411" s="3166"/>
      <c r="C411" s="3166"/>
      <c r="D411" s="3166"/>
      <c r="E411" s="3166"/>
      <c r="F411" s="3166"/>
      <c r="G411" s="3166"/>
      <c r="H411" s="3166"/>
      <c r="I411" s="3166"/>
      <c r="J411" s="3166"/>
      <c r="K411" s="3166"/>
      <c r="L411" s="3166"/>
      <c r="M411" s="3166"/>
      <c r="N411" s="3166"/>
      <c r="O411" s="3166"/>
      <c r="P411" s="3166"/>
      <c r="Q411" s="3167"/>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4161</v>
      </c>
      <c r="B413" s="4" t="s">
        <v>2686</v>
      </c>
      <c r="C413" s="4"/>
      <c r="D413" s="4"/>
      <c r="E413" s="4"/>
      <c r="F413" s="4"/>
      <c r="G413" s="4"/>
      <c r="H413" s="1592"/>
      <c r="I413" s="1592"/>
      <c r="J413" s="1592"/>
      <c r="K413" s="1592"/>
      <c r="L413" s="1592"/>
      <c r="M413" s="1592"/>
      <c r="O413" s="136" t="s">
        <v>1881</v>
      </c>
      <c r="P413" s="3122"/>
      <c r="Q413" s="3295"/>
    </row>
    <row r="414" spans="1:31" ht="12" customHeight="1">
      <c r="A414" s="48" t="s">
        <v>1999</v>
      </c>
      <c r="B414" s="40" t="s">
        <v>760</v>
      </c>
      <c r="D414" s="43"/>
      <c r="E414" s="43"/>
      <c r="F414" s="43"/>
      <c r="G414" s="43"/>
      <c r="H414" s="43"/>
      <c r="I414" s="43"/>
      <c r="J414" s="43"/>
      <c r="K414" s="43"/>
      <c r="L414" s="43"/>
      <c r="M414" s="43"/>
      <c r="N414" s="43"/>
      <c r="O414" s="484" t="s">
        <v>1999</v>
      </c>
      <c r="P414" s="2193"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193"/>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192"/>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269"/>
      <c r="H421" s="572"/>
      <c r="J421" s="139" t="s">
        <v>2221</v>
      </c>
      <c r="K421" s="956"/>
      <c r="N421" s="2269"/>
      <c r="O421" s="572"/>
    </row>
    <row r="422" spans="1:32" ht="12" customHeight="1">
      <c r="A422" s="48"/>
      <c r="B422" s="139" t="s">
        <v>2219</v>
      </c>
      <c r="C422" s="37"/>
      <c r="E422" s="43"/>
      <c r="F422" s="956"/>
      <c r="G422" s="2270"/>
      <c r="H422" s="573"/>
      <c r="J422" s="139" t="s">
        <v>2222</v>
      </c>
      <c r="K422" s="956"/>
      <c r="N422" s="2271"/>
      <c r="O422" s="574"/>
    </row>
    <row r="423" spans="1:32" ht="12" customHeight="1">
      <c r="A423" s="48"/>
      <c r="B423" s="139" t="s">
        <v>2220</v>
      </c>
      <c r="C423" s="37"/>
      <c r="E423" s="43"/>
      <c r="F423" s="956"/>
      <c r="G423" s="227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2269</v>
      </c>
      <c r="N426" s="3277"/>
      <c r="O426" s="3278"/>
      <c r="P426" s="3278"/>
      <c r="Q426" s="3279"/>
    </row>
    <row r="427" spans="1:32" ht="12" customHeight="1">
      <c r="B427" s="145" t="s">
        <v>3779</v>
      </c>
      <c r="D427" s="145"/>
      <c r="E427" s="145"/>
      <c r="F427" s="145"/>
      <c r="G427" s="145"/>
      <c r="H427" s="41"/>
      <c r="I427" s="1589"/>
      <c r="J427" s="1589"/>
      <c r="K427" s="1589"/>
      <c r="P427" s="1585"/>
      <c r="Q427" s="955"/>
    </row>
    <row r="428" spans="1:32" ht="12" customHeight="1">
      <c r="A428" s="3106"/>
      <c r="B428" s="3107"/>
      <c r="C428" s="3107"/>
      <c r="D428" s="3107"/>
      <c r="E428" s="3107"/>
      <c r="F428" s="3107"/>
      <c r="G428" s="3107"/>
      <c r="H428" s="3107"/>
      <c r="I428" s="3107"/>
      <c r="J428" s="3107"/>
      <c r="K428" s="3107"/>
      <c r="L428" s="3107"/>
      <c r="M428" s="3107"/>
      <c r="N428" s="3107"/>
      <c r="O428" s="3107"/>
      <c r="P428" s="3107"/>
      <c r="Q428" s="3108"/>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3165"/>
      <c r="B430" s="3166"/>
      <c r="C430" s="3166"/>
      <c r="D430" s="3166"/>
      <c r="E430" s="3166"/>
      <c r="F430" s="3166"/>
      <c r="G430" s="3166"/>
      <c r="H430" s="3166"/>
      <c r="I430" s="3166"/>
      <c r="J430" s="3166"/>
      <c r="K430" s="3166"/>
      <c r="L430" s="3166"/>
      <c r="M430" s="3166"/>
      <c r="N430" s="3166"/>
      <c r="O430" s="3166"/>
      <c r="P430" s="3166"/>
      <c r="Q430" s="3167"/>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4162</v>
      </c>
      <c r="B432" s="4" t="s">
        <v>2834</v>
      </c>
      <c r="C432" s="4"/>
      <c r="D432" s="89"/>
      <c r="E432" s="1592"/>
      <c r="F432" s="1592"/>
      <c r="G432" s="1592"/>
      <c r="H432" s="1592"/>
      <c r="O432" s="136" t="s">
        <v>1881</v>
      </c>
      <c r="P432" s="3122"/>
      <c r="Q432" s="3123"/>
    </row>
    <row r="433" spans="1:32" ht="13.9" customHeight="1">
      <c r="B433" s="89" t="s">
        <v>3968</v>
      </c>
      <c r="C433" s="4"/>
      <c r="D433" s="89"/>
      <c r="E433" s="1592"/>
      <c r="F433" s="1592"/>
      <c r="G433" s="1592"/>
      <c r="H433" s="1592"/>
    </row>
    <row r="434" spans="1:32" s="137" customFormat="1" ht="21.75" customHeight="1">
      <c r="A434" s="146" t="s">
        <v>1999</v>
      </c>
      <c r="B434" s="3280" t="s">
        <v>3971</v>
      </c>
      <c r="C434" s="3280"/>
      <c r="D434" s="3280"/>
      <c r="E434" s="3280"/>
      <c r="F434" s="3280"/>
      <c r="G434" s="3280"/>
      <c r="H434" s="3280"/>
      <c r="I434" s="3280"/>
      <c r="J434" s="3280"/>
      <c r="K434" s="3280"/>
      <c r="L434" s="3280"/>
      <c r="M434" s="3280"/>
      <c r="N434" s="3280"/>
      <c r="O434" s="166" t="s">
        <v>1999</v>
      </c>
      <c r="P434" s="2236" t="s">
        <v>4604</v>
      </c>
      <c r="Q434" s="1261"/>
      <c r="AE434" s="487"/>
      <c r="AF434" s="487"/>
    </row>
    <row r="435" spans="1:32" s="137" customFormat="1" ht="22.5" customHeight="1">
      <c r="A435" s="146" t="s">
        <v>2001</v>
      </c>
      <c r="B435" s="3280" t="s">
        <v>3969</v>
      </c>
      <c r="C435" s="3280"/>
      <c r="D435" s="3280"/>
      <c r="E435" s="3280"/>
      <c r="F435" s="3280"/>
      <c r="G435" s="3280"/>
      <c r="H435" s="3280"/>
      <c r="I435" s="3280"/>
      <c r="J435" s="3280"/>
      <c r="K435" s="3280"/>
      <c r="L435" s="3280"/>
      <c r="M435" s="3280"/>
      <c r="N435" s="3280"/>
      <c r="O435" s="166" t="s">
        <v>2001</v>
      </c>
      <c r="P435" s="2262" t="s">
        <v>4604</v>
      </c>
      <c r="Q435" s="564"/>
      <c r="AE435" s="487"/>
      <c r="AF435" s="487"/>
    </row>
    <row r="436" spans="1:32" s="137" customFormat="1" ht="22.5" customHeight="1">
      <c r="B436" s="3280" t="s">
        <v>3970</v>
      </c>
      <c r="C436" s="3280"/>
      <c r="D436" s="3280"/>
      <c r="E436" s="3280"/>
      <c r="F436" s="3280"/>
      <c r="G436" s="3280"/>
      <c r="H436" s="3280"/>
      <c r="I436" s="3280"/>
      <c r="J436" s="3280"/>
      <c r="K436" s="3280"/>
      <c r="L436" s="3280"/>
      <c r="M436" s="3280"/>
      <c r="N436" s="3280"/>
      <c r="O436" s="166" t="s">
        <v>1750</v>
      </c>
      <c r="P436" s="2262" t="s">
        <v>4604</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262" t="s">
        <v>4604</v>
      </c>
      <c r="Q437" s="564"/>
      <c r="AE437" s="487"/>
      <c r="AF437" s="487"/>
    </row>
    <row r="438" spans="1:32" s="137" customFormat="1" ht="36" customHeight="1">
      <c r="B438" s="3280" t="s">
        <v>3973</v>
      </c>
      <c r="C438" s="3280"/>
      <c r="D438" s="3280"/>
      <c r="E438" s="3280"/>
      <c r="F438" s="3280"/>
      <c r="G438" s="3280"/>
      <c r="H438" s="3280"/>
      <c r="I438" s="3280"/>
      <c r="J438" s="3280"/>
      <c r="K438" s="3280"/>
      <c r="L438" s="3280"/>
      <c r="M438" s="3280"/>
      <c r="N438" s="3280"/>
      <c r="O438" s="166" t="s">
        <v>1752</v>
      </c>
      <c r="P438" s="2262" t="s">
        <v>4604</v>
      </c>
      <c r="Q438" s="564"/>
      <c r="AE438" s="487"/>
      <c r="AF438" s="487"/>
    </row>
    <row r="439" spans="1:32" s="137" customFormat="1" ht="22.5" customHeight="1">
      <c r="B439" s="3280" t="s">
        <v>3974</v>
      </c>
      <c r="C439" s="3280"/>
      <c r="D439" s="3280"/>
      <c r="E439" s="3280"/>
      <c r="F439" s="3280"/>
      <c r="G439" s="3280"/>
      <c r="H439" s="3280"/>
      <c r="I439" s="3280"/>
      <c r="J439" s="3280"/>
      <c r="K439" s="3280"/>
      <c r="L439" s="3280"/>
      <c r="M439" s="3280"/>
      <c r="N439" s="3280"/>
      <c r="O439" s="166" t="s">
        <v>2381</v>
      </c>
      <c r="P439" s="2262" t="s">
        <v>4604</v>
      </c>
      <c r="Q439" s="564"/>
      <c r="AE439" s="487"/>
      <c r="AF439" s="487"/>
    </row>
    <row r="440" spans="1:32" s="137" customFormat="1" ht="22.5" customHeight="1">
      <c r="A440" s="146" t="s">
        <v>757</v>
      </c>
      <c r="B440" s="3280" t="s">
        <v>3975</v>
      </c>
      <c r="C440" s="3280"/>
      <c r="D440" s="3280"/>
      <c r="E440" s="3280"/>
      <c r="F440" s="3280"/>
      <c r="G440" s="3280"/>
      <c r="H440" s="3280"/>
      <c r="I440" s="3280"/>
      <c r="J440" s="3280"/>
      <c r="K440" s="3280"/>
      <c r="L440" s="3280"/>
      <c r="M440" s="3280"/>
      <c r="N440" s="3280"/>
      <c r="O440" s="166" t="s">
        <v>757</v>
      </c>
      <c r="P440" s="2262" t="s">
        <v>4604</v>
      </c>
      <c r="Q440" s="564"/>
      <c r="AE440" s="487"/>
      <c r="AF440" s="487"/>
    </row>
    <row r="441" spans="1:32" s="137" customFormat="1" ht="22.5" customHeight="1">
      <c r="A441" s="146" t="s">
        <v>2131</v>
      </c>
      <c r="B441" s="3280" t="s">
        <v>3976</v>
      </c>
      <c r="C441" s="3280"/>
      <c r="D441" s="3280"/>
      <c r="E441" s="3280"/>
      <c r="F441" s="3280"/>
      <c r="G441" s="3280"/>
      <c r="H441" s="3280"/>
      <c r="I441" s="3280"/>
      <c r="J441" s="3280"/>
      <c r="K441" s="3280"/>
      <c r="L441" s="3280"/>
      <c r="M441" s="3280"/>
      <c r="N441" s="3280"/>
      <c r="O441" s="166" t="s">
        <v>2131</v>
      </c>
      <c r="P441" s="2262" t="s">
        <v>4604</v>
      </c>
      <c r="Q441" s="564"/>
      <c r="AE441" s="487"/>
      <c r="AF441" s="487"/>
    </row>
    <row r="442" spans="1:32" s="137" customFormat="1" ht="21.75" customHeight="1">
      <c r="A442" s="146" t="s">
        <v>1748</v>
      </c>
      <c r="B442" s="3280" t="s">
        <v>3977</v>
      </c>
      <c r="C442" s="3280"/>
      <c r="D442" s="3280"/>
      <c r="E442" s="3280"/>
      <c r="F442" s="3280"/>
      <c r="G442" s="3280"/>
      <c r="H442" s="3280"/>
      <c r="I442" s="3280"/>
      <c r="J442" s="3280"/>
      <c r="K442" s="3280"/>
      <c r="L442" s="3280"/>
      <c r="M442" s="3280"/>
      <c r="N442" s="3280"/>
      <c r="O442" s="166" t="s">
        <v>1748</v>
      </c>
      <c r="P442" s="2262" t="s">
        <v>4604</v>
      </c>
      <c r="Q442" s="564"/>
      <c r="AE442" s="487"/>
      <c r="AF442" s="487"/>
    </row>
    <row r="443" spans="1:32" s="429" customFormat="1" ht="21.75" customHeight="1">
      <c r="A443" s="146" t="s">
        <v>1749</v>
      </c>
      <c r="B443" s="3280" t="s">
        <v>3500</v>
      </c>
      <c r="C443" s="3280"/>
      <c r="D443" s="3280"/>
      <c r="E443" s="3280"/>
      <c r="F443" s="3280"/>
      <c r="G443" s="3280"/>
      <c r="H443" s="3280"/>
      <c r="I443" s="3280"/>
      <c r="J443" s="3280"/>
      <c r="K443" s="3280"/>
      <c r="L443" s="3280"/>
      <c r="M443" s="3280"/>
      <c r="N443" s="3280"/>
      <c r="O443" s="166" t="s">
        <v>1749</v>
      </c>
      <c r="P443" s="2249" t="s">
        <v>4604</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238" t="s">
        <v>4622</v>
      </c>
      <c r="B445" s="3239"/>
      <c r="C445" s="3239"/>
      <c r="D445" s="3239"/>
      <c r="E445" s="3239"/>
      <c r="F445" s="3239"/>
      <c r="G445" s="3239"/>
      <c r="H445" s="3239"/>
      <c r="I445" s="3239"/>
      <c r="J445" s="3239"/>
      <c r="K445" s="3239"/>
      <c r="L445" s="3239"/>
      <c r="M445" s="3239"/>
      <c r="N445" s="3239"/>
      <c r="O445" s="3239"/>
      <c r="P445" s="3239"/>
      <c r="Q445" s="3240"/>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3165"/>
      <c r="B447" s="3166"/>
      <c r="C447" s="3166"/>
      <c r="D447" s="3166"/>
      <c r="E447" s="3166"/>
      <c r="F447" s="3166"/>
      <c r="G447" s="3166"/>
      <c r="H447" s="3166"/>
      <c r="I447" s="3166"/>
      <c r="J447" s="3166"/>
      <c r="K447" s="3166"/>
      <c r="L447" s="3166"/>
      <c r="M447" s="3166"/>
      <c r="N447" s="3166"/>
      <c r="O447" s="3166"/>
      <c r="P447" s="3166"/>
      <c r="Q447" s="3167"/>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4163</v>
      </c>
      <c r="B449" s="4" t="s">
        <v>2687</v>
      </c>
      <c r="C449" s="4"/>
      <c r="D449" s="89"/>
      <c r="E449" s="1592"/>
      <c r="F449" s="1592"/>
      <c r="G449" s="1592"/>
      <c r="H449" s="1592"/>
      <c r="I449" s="1592"/>
      <c r="J449" s="1592"/>
      <c r="K449" s="1592"/>
      <c r="L449" s="1592"/>
      <c r="M449" s="1592"/>
      <c r="O449" s="136" t="s">
        <v>1881</v>
      </c>
      <c r="P449" s="3122"/>
      <c r="Q449" s="3123"/>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06" t="s">
        <v>4697</v>
      </c>
      <c r="B451" s="3107"/>
      <c r="C451" s="3107"/>
      <c r="D451" s="3107"/>
      <c r="E451" s="3107"/>
      <c r="F451" s="3107"/>
      <c r="G451" s="3107"/>
      <c r="H451" s="3107"/>
      <c r="I451" s="3107"/>
      <c r="J451" s="3107"/>
      <c r="K451" s="3107"/>
      <c r="L451" s="3107"/>
      <c r="M451" s="3107"/>
      <c r="N451" s="3107"/>
      <c r="O451" s="3107"/>
      <c r="P451" s="3107"/>
      <c r="Q451" s="3108"/>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3165"/>
      <c r="B453" s="3166"/>
      <c r="C453" s="3166"/>
      <c r="D453" s="3166"/>
      <c r="E453" s="3166"/>
      <c r="F453" s="3166"/>
      <c r="G453" s="3166"/>
      <c r="H453" s="3166"/>
      <c r="I453" s="3166"/>
      <c r="J453" s="3166"/>
      <c r="K453" s="3166"/>
      <c r="L453" s="3166"/>
      <c r="M453" s="3166"/>
      <c r="N453" s="3166"/>
      <c r="O453" s="3166"/>
      <c r="P453" s="3166"/>
      <c r="Q453" s="3167"/>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EFElEffgdmnBjSz1+U5H3ACiWY5HE+eM6Rx8aLOJpg9FEIhvUSOnU+S1EYmPbMBAFXSd24q91FYbRqDMFmEqKA==" saltValue="UBIbyDW9JHhGTIy+8KciE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1" zoomScale="130" zoomScaleNormal="13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29" t="str">
        <f>CONCATENATE("PART NINE - SCORING CRITERIA","  -  ",'Part I-Project Information'!$O$6," ",'Part I-Project Information'!$F$34,", ",'Part I-Project Information'!F38,", ",'Part I-Project Information'!J39," County")</f>
        <v>PART NINE - SCORING CRITERIA  -  2018-017 Heritage Village at West Lake, Atlanta, Fulton County</v>
      </c>
      <c r="B1" s="2830"/>
      <c r="C1" s="2830"/>
      <c r="D1" s="2830"/>
      <c r="E1" s="2830"/>
      <c r="F1" s="2830"/>
      <c r="G1" s="2830"/>
      <c r="H1" s="2830"/>
      <c r="I1" s="2830"/>
      <c r="J1" s="2830"/>
      <c r="K1" s="2830"/>
      <c r="L1" s="2830"/>
      <c r="M1" s="2830"/>
      <c r="N1" s="2830"/>
      <c r="O1" s="2830"/>
      <c r="P1" s="2831"/>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406" t="s">
        <v>4139</v>
      </c>
      <c r="B3" s="3406"/>
      <c r="C3" s="3406"/>
      <c r="D3" s="3406"/>
      <c r="E3" s="3406"/>
      <c r="F3" s="3406"/>
      <c r="G3" s="3406"/>
      <c r="H3" s="3406"/>
      <c r="I3" s="3406"/>
      <c r="J3" s="3406"/>
      <c r="K3" s="3406"/>
      <c r="L3" s="3406"/>
      <c r="M3" s="1269" t="s">
        <v>2235</v>
      </c>
      <c r="N3" s="76"/>
      <c r="O3" s="86" t="s">
        <v>2234</v>
      </c>
      <c r="P3" s="1270" t="s">
        <v>258</v>
      </c>
    </row>
    <row r="4" spans="1:22" s="45" customFormat="1" ht="12" customHeight="1">
      <c r="A4" s="3406"/>
      <c r="B4" s="3406"/>
      <c r="C4" s="3406"/>
      <c r="D4" s="3406"/>
      <c r="E4" s="3406"/>
      <c r="F4" s="3406"/>
      <c r="G4" s="3406"/>
      <c r="H4" s="3406"/>
      <c r="I4" s="3406"/>
      <c r="J4" s="3406"/>
      <c r="K4" s="3406"/>
      <c r="L4" s="3406"/>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52</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186"/>
      <c r="P10" s="1254">
        <f>F15</f>
        <v>0</v>
      </c>
    </row>
    <row r="11" spans="1:22" s="44" customFormat="1" ht="11.25" customHeight="1">
      <c r="A11" s="185"/>
      <c r="C11" s="113" t="s">
        <v>2129</v>
      </c>
      <c r="D11" s="49"/>
      <c r="E11" s="49"/>
      <c r="F11" s="1593"/>
      <c r="H11" s="179" t="s">
        <v>2783</v>
      </c>
      <c r="J11" s="50"/>
      <c r="M11" s="6">
        <v>1</v>
      </c>
      <c r="N11" s="67"/>
      <c r="O11" s="2187"/>
      <c r="P11" s="1298">
        <f>J15</f>
        <v>0</v>
      </c>
    </row>
    <row r="12" spans="1:22" s="43" customFormat="1" ht="11.25" customHeight="1">
      <c r="A12" s="185" t="s">
        <v>2001</v>
      </c>
      <c r="B12" s="172" t="s">
        <v>734</v>
      </c>
      <c r="D12" s="49"/>
      <c r="E12" s="49"/>
      <c r="F12" s="1593"/>
      <c r="H12" s="179" t="s">
        <v>2747</v>
      </c>
      <c r="J12" s="50"/>
      <c r="M12" s="6"/>
      <c r="N12" s="67" t="s">
        <v>2001</v>
      </c>
      <c r="O12" s="2186"/>
      <c r="P12" s="1254">
        <f>O15</f>
        <v>0</v>
      </c>
    </row>
    <row r="13" spans="1:22" s="43" customFormat="1" ht="10.9" customHeight="1">
      <c r="A13" s="69"/>
      <c r="C13" s="113" t="s">
        <v>4194</v>
      </c>
      <c r="D13" s="53"/>
      <c r="E13" s="53"/>
      <c r="F13" s="53"/>
      <c r="G13" s="69"/>
      <c r="H13" s="179" t="s">
        <v>2747</v>
      </c>
      <c r="I13" s="69"/>
      <c r="J13" s="69"/>
      <c r="K13" s="69"/>
      <c r="L13" s="69"/>
      <c r="M13" s="69"/>
      <c r="N13" s="69"/>
      <c r="O13" s="2188"/>
      <c r="P13" s="1255">
        <f>+O29</f>
        <v>0</v>
      </c>
      <c r="R13" s="463"/>
      <c r="S13" s="163"/>
    </row>
    <row r="14" spans="1:22" s="43" customFormat="1" ht="10.9" customHeight="1">
      <c r="A14" s="3416" t="s">
        <v>3872</v>
      </c>
      <c r="B14" s="3416"/>
      <c r="C14" s="3416"/>
      <c r="D14" s="3416"/>
      <c r="E14" s="3416"/>
      <c r="F14" s="1589" t="s">
        <v>4197</v>
      </c>
      <c r="J14" s="1589" t="s">
        <v>4197</v>
      </c>
      <c r="K14" s="1589"/>
      <c r="O14" s="3421" t="s">
        <v>4197</v>
      </c>
      <c r="P14" s="3421"/>
      <c r="R14" s="463"/>
      <c r="S14" s="163"/>
    </row>
    <row r="15" spans="1:22" s="43" customFormat="1" ht="11.25" customHeight="1">
      <c r="A15" s="3417"/>
      <c r="B15" s="3417"/>
      <c r="C15" s="3417"/>
      <c r="D15" s="3417"/>
      <c r="E15" s="3417"/>
      <c r="F15" s="79">
        <f>SUM(F16:F27)</f>
        <v>0</v>
      </c>
      <c r="G15" s="3418" t="s">
        <v>3610</v>
      </c>
      <c r="H15" s="3419"/>
      <c r="I15" s="3420"/>
      <c r="J15" s="79">
        <f>SUM(J16:J27)</f>
        <v>0</v>
      </c>
      <c r="K15" s="3422" t="s">
        <v>3394</v>
      </c>
      <c r="L15" s="3423"/>
      <c r="M15" s="3423"/>
      <c r="N15" s="3424"/>
      <c r="O15" s="3407">
        <f>SUM(O16:O27)</f>
        <v>0</v>
      </c>
      <c r="P15" s="3408"/>
      <c r="Q15" s="463"/>
      <c r="R15" s="163"/>
    </row>
    <row r="16" spans="1:22" s="43" customFormat="1" ht="24.75" customHeight="1">
      <c r="A16" s="3409">
        <v>1</v>
      </c>
      <c r="B16" s="3410"/>
      <c r="C16" s="3410"/>
      <c r="D16" s="3410"/>
      <c r="E16" s="3411"/>
      <c r="F16" s="935"/>
      <c r="G16" s="3409">
        <v>1</v>
      </c>
      <c r="H16" s="3410"/>
      <c r="I16" s="3411"/>
      <c r="J16" s="939" t="s">
        <v>1746</v>
      </c>
      <c r="K16" s="3412">
        <v>1</v>
      </c>
      <c r="L16" s="3413"/>
      <c r="M16" s="3413"/>
      <c r="N16" s="3413"/>
      <c r="O16" s="3414" t="s">
        <v>1746</v>
      </c>
      <c r="P16" s="3415"/>
      <c r="Q16" s="461" t="s">
        <v>1266</v>
      </c>
      <c r="R16" s="163"/>
    </row>
    <row r="17" spans="1:19" s="43" customFormat="1" ht="24.75" customHeight="1">
      <c r="A17" s="3397">
        <v>2</v>
      </c>
      <c r="B17" s="3398"/>
      <c r="C17" s="3398"/>
      <c r="D17" s="3398"/>
      <c r="E17" s="3399"/>
      <c r="F17" s="936"/>
      <c r="G17" s="3397">
        <v>2</v>
      </c>
      <c r="H17" s="3398"/>
      <c r="I17" s="3399"/>
      <c r="J17" s="936"/>
      <c r="K17" s="3400">
        <v>2</v>
      </c>
      <c r="L17" s="3401"/>
      <c r="M17" s="3401"/>
      <c r="N17" s="3401"/>
      <c r="O17" s="3402"/>
      <c r="P17" s="3403"/>
      <c r="Q17" s="462"/>
      <c r="R17" s="163"/>
    </row>
    <row r="18" spans="1:19" s="43" customFormat="1" ht="24.75" customHeight="1">
      <c r="A18" s="3397">
        <v>3</v>
      </c>
      <c r="B18" s="3398"/>
      <c r="C18" s="3398"/>
      <c r="D18" s="3398"/>
      <c r="E18" s="3399"/>
      <c r="F18" s="936"/>
      <c r="G18" s="3397">
        <v>3</v>
      </c>
      <c r="H18" s="3398"/>
      <c r="I18" s="3399"/>
      <c r="J18" s="1313" t="s">
        <v>2925</v>
      </c>
      <c r="K18" s="3400">
        <v>3</v>
      </c>
      <c r="L18" s="3401"/>
      <c r="M18" s="3401"/>
      <c r="N18" s="3401"/>
      <c r="O18" s="3404" t="s">
        <v>2925</v>
      </c>
      <c r="P18" s="3405"/>
      <c r="Q18" s="462"/>
      <c r="R18" s="163"/>
    </row>
    <row r="19" spans="1:19" s="43" customFormat="1" ht="24.75" customHeight="1">
      <c r="A19" s="3397">
        <v>4</v>
      </c>
      <c r="B19" s="3398"/>
      <c r="C19" s="3398"/>
      <c r="D19" s="3398"/>
      <c r="E19" s="3399"/>
      <c r="F19" s="936"/>
      <c r="G19" s="3397">
        <v>4</v>
      </c>
      <c r="H19" s="3398"/>
      <c r="I19" s="3399"/>
      <c r="J19" s="936"/>
      <c r="K19" s="3400">
        <v>4</v>
      </c>
      <c r="L19" s="3401"/>
      <c r="M19" s="3401"/>
      <c r="N19" s="3401"/>
      <c r="O19" s="3404" t="s">
        <v>2925</v>
      </c>
      <c r="P19" s="3405"/>
      <c r="Q19" s="462"/>
      <c r="R19" s="163"/>
    </row>
    <row r="20" spans="1:19" s="43" customFormat="1" ht="24.75" customHeight="1">
      <c r="A20" s="3397">
        <v>5</v>
      </c>
      <c r="B20" s="3398"/>
      <c r="C20" s="3398"/>
      <c r="D20" s="3398"/>
      <c r="E20" s="3399"/>
      <c r="F20" s="936"/>
      <c r="G20" s="3397">
        <v>5</v>
      </c>
      <c r="H20" s="3398"/>
      <c r="I20" s="3399"/>
      <c r="J20" s="1313" t="s">
        <v>3611</v>
      </c>
      <c r="K20" s="3400">
        <v>5</v>
      </c>
      <c r="L20" s="3401"/>
      <c r="M20" s="3401"/>
      <c r="N20" s="3401"/>
      <c r="O20" s="3402"/>
      <c r="P20" s="3403"/>
      <c r="Q20" s="163"/>
      <c r="R20" s="163"/>
    </row>
    <row r="21" spans="1:19" s="43" customFormat="1" ht="24.75" customHeight="1">
      <c r="A21" s="3397">
        <v>6</v>
      </c>
      <c r="B21" s="3398"/>
      <c r="C21" s="3398"/>
      <c r="D21" s="3398"/>
      <c r="E21" s="3399"/>
      <c r="F21" s="936"/>
      <c r="G21" s="3397">
        <v>6</v>
      </c>
      <c r="H21" s="3398"/>
      <c r="I21" s="3399"/>
      <c r="J21" s="936"/>
      <c r="K21" s="3400">
        <v>6</v>
      </c>
      <c r="L21" s="3401"/>
      <c r="M21" s="3401"/>
      <c r="N21" s="3401"/>
      <c r="O21" s="3402"/>
      <c r="P21" s="3403"/>
      <c r="Q21" s="163"/>
      <c r="R21" s="163"/>
    </row>
    <row r="22" spans="1:19" s="43" customFormat="1" ht="24.75" customHeight="1">
      <c r="A22" s="3397">
        <v>7</v>
      </c>
      <c r="B22" s="3398"/>
      <c r="C22" s="3398"/>
      <c r="D22" s="3398"/>
      <c r="E22" s="3399"/>
      <c r="F22" s="936"/>
      <c r="G22" s="3397">
        <v>7</v>
      </c>
      <c r="H22" s="3398"/>
      <c r="I22" s="3399"/>
      <c r="J22" s="1313" t="s">
        <v>3612</v>
      </c>
      <c r="K22" s="3400">
        <v>7</v>
      </c>
      <c r="L22" s="3401"/>
      <c r="M22" s="3401"/>
      <c r="N22" s="3401"/>
      <c r="O22" s="3402"/>
      <c r="P22" s="3403"/>
      <c r="Q22" s="163"/>
      <c r="R22" s="163"/>
    </row>
    <row r="23" spans="1:19" s="43" customFormat="1" ht="24.75" customHeight="1">
      <c r="A23" s="3397">
        <v>8</v>
      </c>
      <c r="B23" s="3398"/>
      <c r="C23" s="3398"/>
      <c r="D23" s="3398"/>
      <c r="E23" s="3399"/>
      <c r="F23" s="936"/>
      <c r="G23" s="3397">
        <v>8</v>
      </c>
      <c r="H23" s="3398"/>
      <c r="I23" s="3399"/>
      <c r="J23" s="936"/>
      <c r="K23" s="3400">
        <v>8</v>
      </c>
      <c r="L23" s="3401"/>
      <c r="M23" s="3401"/>
      <c r="N23" s="3401"/>
      <c r="O23" s="3402"/>
      <c r="P23" s="3403"/>
      <c r="Q23" s="163"/>
      <c r="R23" s="163"/>
    </row>
    <row r="24" spans="1:19" s="43" customFormat="1" ht="11.25" customHeight="1">
      <c r="A24" s="3397">
        <v>9</v>
      </c>
      <c r="B24" s="3398"/>
      <c r="C24" s="3398"/>
      <c r="D24" s="3398"/>
      <c r="E24" s="3399"/>
      <c r="F24" s="936"/>
      <c r="G24" s="3397">
        <v>9</v>
      </c>
      <c r="H24" s="3398"/>
      <c r="I24" s="3399"/>
      <c r="J24" s="1313" t="s">
        <v>3613</v>
      </c>
      <c r="K24" s="3400">
        <v>9</v>
      </c>
      <c r="L24" s="3401"/>
      <c r="M24" s="3401"/>
      <c r="N24" s="3401"/>
      <c r="O24" s="3402"/>
      <c r="P24" s="3403"/>
      <c r="Q24" s="163"/>
      <c r="R24" s="163"/>
    </row>
    <row r="25" spans="1:19" s="43" customFormat="1" ht="11.25" customHeight="1">
      <c r="A25" s="3397">
        <v>10</v>
      </c>
      <c r="B25" s="3398"/>
      <c r="C25" s="3398"/>
      <c r="D25" s="3398"/>
      <c r="E25" s="3399"/>
      <c r="F25" s="936"/>
      <c r="G25" s="3397">
        <v>10</v>
      </c>
      <c r="H25" s="3398"/>
      <c r="I25" s="3399"/>
      <c r="J25" s="936"/>
      <c r="K25" s="3400">
        <v>10</v>
      </c>
      <c r="L25" s="3401"/>
      <c r="M25" s="3401"/>
      <c r="N25" s="3401"/>
      <c r="O25" s="3402"/>
      <c r="P25" s="3403"/>
      <c r="Q25" s="163"/>
      <c r="R25" s="163"/>
    </row>
    <row r="26" spans="1:19" s="43" customFormat="1" ht="11.25" customHeight="1">
      <c r="A26" s="3397">
        <v>11</v>
      </c>
      <c r="B26" s="3398"/>
      <c r="C26" s="3398"/>
      <c r="D26" s="3398"/>
      <c r="E26" s="3399"/>
      <c r="F26" s="936"/>
      <c r="G26" s="3397">
        <v>11</v>
      </c>
      <c r="H26" s="3398"/>
      <c r="I26" s="3399"/>
      <c r="J26" s="1313" t="s">
        <v>3614</v>
      </c>
      <c r="K26" s="3397">
        <v>11</v>
      </c>
      <c r="L26" s="3398"/>
      <c r="M26" s="3398"/>
      <c r="N26" s="3399"/>
      <c r="O26" s="3402"/>
      <c r="P26" s="3403"/>
      <c r="Q26" s="163"/>
      <c r="R26" s="163"/>
    </row>
    <row r="27" spans="1:19" s="43" customFormat="1" ht="11.25" customHeight="1">
      <c r="A27" s="3431">
        <v>12</v>
      </c>
      <c r="B27" s="3432"/>
      <c r="C27" s="3432"/>
      <c r="D27" s="3432"/>
      <c r="E27" s="3433"/>
      <c r="F27" s="937"/>
      <c r="G27" s="3431">
        <v>12</v>
      </c>
      <c r="H27" s="3432"/>
      <c r="I27" s="3433"/>
      <c r="J27" s="937"/>
      <c r="K27" s="3431">
        <v>12</v>
      </c>
      <c r="L27" s="3432"/>
      <c r="M27" s="3432"/>
      <c r="N27" s="3433"/>
      <c r="O27" s="3429"/>
      <c r="P27" s="3430"/>
    </row>
    <row r="28" spans="1:19" s="44" customFormat="1" ht="11.25" customHeight="1">
      <c r="B28" s="1333"/>
      <c r="C28" s="1333"/>
      <c r="D28" s="1333"/>
      <c r="E28" s="3425" t="s">
        <v>4227</v>
      </c>
      <c r="F28" s="3426" t="s">
        <v>4539</v>
      </c>
      <c r="G28" s="3426"/>
      <c r="H28" s="3426"/>
      <c r="I28" s="3426"/>
      <c r="J28" s="3426"/>
      <c r="K28" s="3426"/>
      <c r="L28" s="3426"/>
      <c r="M28" s="3426"/>
      <c r="N28" s="3426"/>
      <c r="O28" s="3426"/>
      <c r="P28" s="3426"/>
      <c r="Q28" s="112"/>
      <c r="R28" s="391"/>
    </row>
    <row r="29" spans="1:19" s="43" customFormat="1" ht="10.5" customHeight="1">
      <c r="A29" s="303" t="s">
        <v>4198</v>
      </c>
      <c r="B29" s="1316" t="s">
        <v>4199</v>
      </c>
      <c r="C29" s="1316"/>
      <c r="D29" s="1316"/>
      <c r="E29" s="3417"/>
      <c r="F29" s="3427" t="s">
        <v>4226</v>
      </c>
      <c r="G29" s="3427"/>
      <c r="H29" s="3427"/>
      <c r="I29" s="3427"/>
      <c r="J29" s="3427"/>
      <c r="K29" s="3427"/>
      <c r="L29" s="3427"/>
      <c r="M29" s="3427"/>
      <c r="N29" s="3428"/>
      <c r="O29" s="3407">
        <f>SUM(O30:O41)</f>
        <v>0</v>
      </c>
      <c r="P29" s="3408"/>
      <c r="Q29" s="463"/>
      <c r="R29" s="163"/>
    </row>
    <row r="30" spans="1:19" s="43" customFormat="1" ht="10.5" customHeight="1">
      <c r="A30" s="1299" t="s">
        <v>750</v>
      </c>
      <c r="B30" s="1300" t="s">
        <v>4200</v>
      </c>
      <c r="C30" s="1301"/>
      <c r="D30" s="1302"/>
      <c r="E30" s="1358">
        <f>$O$57</f>
        <v>10</v>
      </c>
      <c r="F30" s="3469" t="str">
        <f>$A$63</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G30" s="3470"/>
      <c r="H30" s="3470"/>
      <c r="I30" s="3470"/>
      <c r="J30" s="3470"/>
      <c r="K30" s="3470"/>
      <c r="L30" s="3470"/>
      <c r="M30" s="3470"/>
      <c r="N30" s="3471"/>
      <c r="O30" s="3395" t="s">
        <v>1746</v>
      </c>
      <c r="P30" s="3396"/>
      <c r="Q30" s="461"/>
      <c r="R30" s="163"/>
    </row>
    <row r="31" spans="1:19" s="43" customFormat="1" ht="10.5" customHeight="1">
      <c r="A31" s="1303" t="s">
        <v>1807</v>
      </c>
      <c r="B31" s="1033" t="s">
        <v>4201</v>
      </c>
      <c r="C31" s="1188"/>
      <c r="D31" s="1304"/>
      <c r="E31" s="1359">
        <f>$O$94</f>
        <v>3</v>
      </c>
      <c r="F31" s="3437" t="str">
        <f>$A$107</f>
        <v>We have elected to participate in the Enterprise Foundation Green Communities certification. We have included the Scoring spreadsheet showing we are entitled to 58 points under Enterprise's program.  Since the program minimum is 30, we would have to score at least 40 points to qualify for 3 pts. under this section. A score of 58 is 18 points over the necessary threshold.   We have also submitted the DCA Green Building attendance certificate from 2017 for Betty Gomez, construction manager for New Columbia Residential.</v>
      </c>
      <c r="G31" s="3438"/>
      <c r="H31" s="3438"/>
      <c r="I31" s="3438"/>
      <c r="J31" s="3438"/>
      <c r="K31" s="3438"/>
      <c r="L31" s="3438"/>
      <c r="M31" s="3438"/>
      <c r="N31" s="3439"/>
      <c r="O31" s="3310"/>
      <c r="P31" s="3311"/>
      <c r="Q31" s="3307" t="str">
        <f>IF(OR($A$63="",$A$107="",$A$290="",$A$185="",$A$224="",$A$266="",$A$312="",$A$342="",$A$358="",$A$392="",$A$410="",$A$429=""),"Some Applicant Scoring Justification boxes are empty! Check to see if points claimed.","")</f>
        <v>Some Applicant Scoring Justification boxes are empty! Check to see if points claimed.</v>
      </c>
      <c r="R31" s="3308"/>
      <c r="S31" s="3308"/>
    </row>
    <row r="32" spans="1:19" s="43" customFormat="1" ht="10.5" customHeight="1">
      <c r="A32" s="1303" t="s">
        <v>780</v>
      </c>
      <c r="B32" s="1033" t="s">
        <v>4202</v>
      </c>
      <c r="C32" s="1188"/>
      <c r="D32" s="1304"/>
      <c r="E32" s="1359">
        <f>$O$153</f>
        <v>0</v>
      </c>
      <c r="F32" s="3437">
        <f>$A$185</f>
        <v>0</v>
      </c>
      <c r="G32" s="3438"/>
      <c r="H32" s="3438"/>
      <c r="I32" s="3438"/>
      <c r="J32" s="3438"/>
      <c r="K32" s="3438"/>
      <c r="L32" s="3438"/>
      <c r="M32" s="3438"/>
      <c r="N32" s="3439"/>
      <c r="O32" s="3446" t="s">
        <v>2925</v>
      </c>
      <c r="P32" s="3447"/>
      <c r="Q32" s="3307"/>
      <c r="R32" s="3308"/>
      <c r="S32" s="3308"/>
    </row>
    <row r="33" spans="1:19" s="43" customFormat="1" ht="10.5" customHeight="1">
      <c r="A33" s="1303" t="s">
        <v>294</v>
      </c>
      <c r="B33" s="1033" t="s">
        <v>4203</v>
      </c>
      <c r="C33" s="1188"/>
      <c r="D33" s="1304"/>
      <c r="E33" s="1432">
        <f>$O$189</f>
        <v>0</v>
      </c>
      <c r="F33" s="3443">
        <f>$A$224</f>
        <v>0</v>
      </c>
      <c r="G33" s="3444"/>
      <c r="H33" s="3444"/>
      <c r="I33" s="3444"/>
      <c r="J33" s="3444"/>
      <c r="K33" s="3444"/>
      <c r="L33" s="3444"/>
      <c r="M33" s="3444"/>
      <c r="N33" s="3445"/>
      <c r="O33" s="3446" t="s">
        <v>2925</v>
      </c>
      <c r="P33" s="3447"/>
      <c r="Q33" s="3307"/>
      <c r="R33" s="3308"/>
      <c r="S33" s="3308"/>
    </row>
    <row r="34" spans="1:19" s="43" customFormat="1" ht="10.5" customHeight="1">
      <c r="A34" s="1309" t="s">
        <v>428</v>
      </c>
      <c r="B34" s="1310" t="s">
        <v>4204</v>
      </c>
      <c r="C34" s="1311"/>
      <c r="D34" s="1312"/>
      <c r="E34" s="1360" t="s">
        <v>1746</v>
      </c>
      <c r="F34" s="3440">
        <f>$A$266</f>
        <v>0</v>
      </c>
      <c r="G34" s="3441"/>
      <c r="H34" s="3441"/>
      <c r="I34" s="3441"/>
      <c r="J34" s="3441"/>
      <c r="K34" s="3441"/>
      <c r="L34" s="3441"/>
      <c r="M34" s="3441"/>
      <c r="N34" s="3442"/>
      <c r="O34" s="3310"/>
      <c r="P34" s="3311"/>
      <c r="Q34" s="3307"/>
      <c r="R34" s="3308"/>
      <c r="S34" s="3308"/>
    </row>
    <row r="35" spans="1:19" s="43" customFormat="1" ht="10.5" customHeight="1">
      <c r="A35" s="1303" t="s">
        <v>365</v>
      </c>
      <c r="B35" s="1033" t="s">
        <v>3818</v>
      </c>
      <c r="C35" s="1188"/>
      <c r="D35" s="1304"/>
      <c r="E35" s="1359">
        <f>$O$286</f>
        <v>0</v>
      </c>
      <c r="F35" s="3437">
        <f>$A$290</f>
        <v>0</v>
      </c>
      <c r="G35" s="3438"/>
      <c r="H35" s="3438"/>
      <c r="I35" s="3438"/>
      <c r="J35" s="3438"/>
      <c r="K35" s="3438"/>
      <c r="L35" s="3438"/>
      <c r="M35" s="3438"/>
      <c r="N35" s="3439"/>
      <c r="O35" s="3310"/>
      <c r="P35" s="3311"/>
      <c r="Q35" s="3307"/>
      <c r="R35" s="3308"/>
      <c r="S35" s="3308"/>
    </row>
    <row r="36" spans="1:19" s="43" customFormat="1" ht="10.5" customHeight="1">
      <c r="A36" s="1303" t="s">
        <v>2267</v>
      </c>
      <c r="B36" s="1033" t="s">
        <v>4205</v>
      </c>
      <c r="C36" s="1188"/>
      <c r="D36" s="1304"/>
      <c r="E36" s="1360">
        <f>$O$337</f>
        <v>0</v>
      </c>
      <c r="F36" s="3437">
        <f>$A$342</f>
        <v>0</v>
      </c>
      <c r="G36" s="3438"/>
      <c r="H36" s="3438"/>
      <c r="I36" s="3438"/>
      <c r="J36" s="3438"/>
      <c r="K36" s="3438"/>
      <c r="L36" s="3438"/>
      <c r="M36" s="3438"/>
      <c r="N36" s="3439"/>
      <c r="O36" s="3310"/>
      <c r="P36" s="3311"/>
      <c r="Q36" s="3307"/>
      <c r="R36" s="3308"/>
      <c r="S36" s="3308"/>
    </row>
    <row r="37" spans="1:19" s="43" customFormat="1" ht="10.5" customHeight="1">
      <c r="A37" s="1303" t="s">
        <v>4515</v>
      </c>
      <c r="B37" s="1033" t="s">
        <v>4516</v>
      </c>
      <c r="C37" s="1188"/>
      <c r="D37" s="1304"/>
      <c r="E37" s="1360">
        <f>$O$294</f>
        <v>3</v>
      </c>
      <c r="F37" s="3443" t="str">
        <f>$A$312</f>
        <v>No projects have been funded within a 1-mile radius in the last 6 DCA funding cycles, therefore, we qualify for 3 points. See Tab 44 - for previous project map</v>
      </c>
      <c r="G37" s="3444"/>
      <c r="H37" s="3444"/>
      <c r="I37" s="3444"/>
      <c r="J37" s="3444"/>
      <c r="K37" s="3444"/>
      <c r="L37" s="3444"/>
      <c r="M37" s="3444"/>
      <c r="N37" s="3445"/>
      <c r="O37" s="3310"/>
      <c r="P37" s="3311"/>
      <c r="Q37" s="3307"/>
      <c r="R37" s="3308"/>
      <c r="S37" s="3308"/>
    </row>
    <row r="38" spans="1:19" s="43" customFormat="1" ht="10.5" customHeight="1">
      <c r="A38" s="1309" t="s">
        <v>4151</v>
      </c>
      <c r="B38" s="1310" t="s">
        <v>4206</v>
      </c>
      <c r="C38" s="1311"/>
      <c r="D38" s="1312"/>
      <c r="E38" s="1431">
        <f>$O$346</f>
        <v>0</v>
      </c>
      <c r="F38" s="3440">
        <f>$A$358</f>
        <v>0</v>
      </c>
      <c r="G38" s="3441"/>
      <c r="H38" s="3441"/>
      <c r="I38" s="3441"/>
      <c r="J38" s="3441"/>
      <c r="K38" s="3441"/>
      <c r="L38" s="3441"/>
      <c r="M38" s="3441"/>
      <c r="N38" s="3442"/>
      <c r="O38" s="3310"/>
      <c r="P38" s="3311"/>
      <c r="Q38" s="3307"/>
      <c r="R38" s="3308"/>
      <c r="S38" s="3308"/>
    </row>
    <row r="39" spans="1:19" s="43" customFormat="1" ht="10.5" customHeight="1">
      <c r="A39" s="1303" t="s">
        <v>4152</v>
      </c>
      <c r="B39" s="1033" t="s">
        <v>4207</v>
      </c>
      <c r="C39" s="1188"/>
      <c r="D39" s="1304"/>
      <c r="E39" s="1359">
        <f>$O$362</f>
        <v>3</v>
      </c>
      <c r="F39" s="3437" t="str">
        <f>$A$392</f>
        <v>The HOME Commitment is included in Tab 40 and shows a $2,000,000 loan.  This amount represents 13% of the TDC of $15,349,522.  We qualify for 3 points.</v>
      </c>
      <c r="G39" s="3438"/>
      <c r="H39" s="3438"/>
      <c r="I39" s="3438"/>
      <c r="J39" s="3438"/>
      <c r="K39" s="3438"/>
      <c r="L39" s="3438"/>
      <c r="M39" s="3438"/>
      <c r="N39" s="3439"/>
      <c r="O39" s="3310"/>
      <c r="P39" s="3311"/>
      <c r="Q39" s="3307"/>
      <c r="R39" s="3308"/>
      <c r="S39" s="3308"/>
    </row>
    <row r="40" spans="1:19" s="43" customFormat="1" ht="10.5" customHeight="1">
      <c r="A40" s="1303" t="s">
        <v>4150</v>
      </c>
      <c r="B40" s="1033" t="s">
        <v>4208</v>
      </c>
      <c r="C40" s="1188"/>
      <c r="D40" s="1304"/>
      <c r="E40" s="1359">
        <f>$O$396</f>
        <v>2</v>
      </c>
      <c r="F40" s="3437" t="str">
        <f>$A$410</f>
        <v>We agree to accept Section 811 PBRA on up to 10% of our units.  Please note that 22.7% of our units are one bedrooms.  We are entitled to 2 points.</v>
      </c>
      <c r="G40" s="3438"/>
      <c r="H40" s="3438"/>
      <c r="I40" s="3438"/>
      <c r="J40" s="3438"/>
      <c r="K40" s="3438"/>
      <c r="L40" s="3438"/>
      <c r="M40" s="3438"/>
      <c r="N40" s="3439"/>
      <c r="O40" s="3310"/>
      <c r="P40" s="3311"/>
      <c r="Q40" s="3307"/>
      <c r="R40" s="3308"/>
      <c r="S40" s="3308"/>
    </row>
    <row r="41" spans="1:19" s="43" customFormat="1" ht="10.5" customHeight="1">
      <c r="A41" s="1305" t="s">
        <v>4153</v>
      </c>
      <c r="B41" s="1306" t="s">
        <v>4209</v>
      </c>
      <c r="C41" s="1307"/>
      <c r="D41" s="1308"/>
      <c r="E41" s="1361">
        <f>$O$414</f>
        <v>0</v>
      </c>
      <c r="F41" s="3448">
        <f>$A$429</f>
        <v>0</v>
      </c>
      <c r="G41" s="3449"/>
      <c r="H41" s="3449"/>
      <c r="I41" s="3449"/>
      <c r="J41" s="3449"/>
      <c r="K41" s="3449"/>
      <c r="L41" s="3449"/>
      <c r="M41" s="3449"/>
      <c r="N41" s="3450"/>
      <c r="O41" s="3435"/>
      <c r="P41" s="3436"/>
      <c r="Q41" s="3307"/>
      <c r="R41" s="3308"/>
      <c r="S41" s="3308"/>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3472" t="s">
        <v>3616</v>
      </c>
      <c r="I45" s="3472"/>
      <c r="J45" s="966">
        <f>'Part VI-Revenues &amp; Expenses'!$O$60</f>
        <v>123</v>
      </c>
      <c r="K45" s="965"/>
      <c r="M45" s="941"/>
      <c r="N45" s="7"/>
      <c r="Q45" s="7"/>
      <c r="R45" s="391"/>
    </row>
    <row r="46" spans="1:19" s="105" customFormat="1" ht="13.5" customHeight="1">
      <c r="A46" s="143"/>
      <c r="B46" s="3358" t="s">
        <v>3617</v>
      </c>
      <c r="C46" s="3358"/>
      <c r="D46" s="3358"/>
      <c r="E46" s="3358"/>
      <c r="F46" s="3358"/>
      <c r="G46" s="934"/>
      <c r="H46" s="1093" t="s">
        <v>3618</v>
      </c>
      <c r="I46" s="1093" t="s">
        <v>3619</v>
      </c>
      <c r="J46" s="934"/>
      <c r="K46" s="3257" t="s">
        <v>3396</v>
      </c>
      <c r="L46" s="3257"/>
      <c r="M46" s="941"/>
      <c r="N46" s="7"/>
      <c r="Q46" s="7"/>
      <c r="R46" s="391"/>
    </row>
    <row r="47" spans="1:19" s="105" customFormat="1" ht="13.5" customHeight="1">
      <c r="B47" s="3358"/>
      <c r="C47" s="3358"/>
      <c r="D47" s="3358"/>
      <c r="E47" s="3358"/>
      <c r="F47" s="3358"/>
      <c r="G47" s="3152" t="s">
        <v>3742</v>
      </c>
      <c r="H47" s="3152"/>
      <c r="I47" s="3152"/>
      <c r="J47" s="3152"/>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190">
        <v>25</v>
      </c>
      <c r="I49" s="1348"/>
      <c r="K49" s="1094">
        <f>IF(OR('Part VI-Revenues &amp; Expenses'!$O$60="", 'Part VI-Revenues &amp; Expenses'!$O$60=0),0,H49/'Part VI-Revenues &amp; Expenses'!$O$60)</f>
        <v>0.2032520325203252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3152" t="s">
        <v>3678</v>
      </c>
      <c r="I51" s="3152"/>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192"/>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3165"/>
      <c r="B55" s="3166"/>
      <c r="C55" s="3166"/>
      <c r="D55" s="3166"/>
      <c r="E55" s="3166"/>
      <c r="F55" s="3166"/>
      <c r="G55" s="3166"/>
      <c r="H55" s="3166"/>
      <c r="I55" s="3166"/>
      <c r="J55" s="3166"/>
      <c r="K55" s="3166"/>
      <c r="L55" s="3166"/>
      <c r="M55" s="3166"/>
      <c r="N55" s="3166"/>
      <c r="O55" s="3166"/>
      <c r="P55" s="3167"/>
      <c r="Q55" s="461"/>
    </row>
    <row r="56" spans="1:18" ht="3" customHeight="1" thickBot="1"/>
    <row r="57" spans="1:18" s="44" customFormat="1" ht="12.6" customHeight="1" thickBot="1">
      <c r="A57" s="158" t="s">
        <v>750</v>
      </c>
      <c r="B57" s="108" t="s">
        <v>4146</v>
      </c>
      <c r="D57" s="42"/>
      <c r="I57" s="3029" t="s">
        <v>3795</v>
      </c>
      <c r="J57" s="3029"/>
      <c r="K57" s="3029"/>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193" t="s">
        <v>3011</v>
      </c>
      <c r="P59" s="561"/>
    </row>
    <row r="60" spans="1:18" s="44" customFormat="1" ht="12" customHeight="1">
      <c r="A60" s="143" t="s">
        <v>1999</v>
      </c>
      <c r="B60" s="172" t="s">
        <v>1888</v>
      </c>
      <c r="C60" s="4"/>
      <c r="D60" s="4"/>
      <c r="F60" s="307"/>
      <c r="G60" s="179" t="s">
        <v>2736</v>
      </c>
      <c r="I60" s="3406" t="s">
        <v>4229</v>
      </c>
      <c r="J60" s="3406"/>
      <c r="K60" s="3406"/>
      <c r="L60" s="3406"/>
      <c r="M60" s="75">
        <v>10</v>
      </c>
      <c r="N60" s="181" t="s">
        <v>1999</v>
      </c>
      <c r="O60" s="2194">
        <v>10</v>
      </c>
      <c r="P60" s="1076"/>
      <c r="Q60" s="1090" t="str">
        <f>IF(OR($O60=$M60,$O60=0,$O60=""),"","*CHECK!*")</f>
        <v/>
      </c>
      <c r="R60" s="1244" t="s">
        <v>2724</v>
      </c>
    </row>
    <row r="61" spans="1:18" s="44" customFormat="1" ht="12.6" customHeight="1">
      <c r="A61" s="143" t="s">
        <v>2001</v>
      </c>
      <c r="B61" s="172" t="s">
        <v>3873</v>
      </c>
      <c r="D61" s="42"/>
      <c r="F61" s="407"/>
      <c r="G61" s="179" t="s">
        <v>4024</v>
      </c>
      <c r="I61" s="3406"/>
      <c r="J61" s="3406"/>
      <c r="K61" s="3406"/>
      <c r="L61" s="3406"/>
      <c r="M61" s="1589" t="s">
        <v>1250</v>
      </c>
      <c r="N61" s="484" t="s">
        <v>2001</v>
      </c>
      <c r="O61" s="2195"/>
      <c r="P61" s="1218"/>
      <c r="R61" s="1244" t="s">
        <v>2724</v>
      </c>
    </row>
    <row r="62" spans="1:18" s="44" customFormat="1" ht="11.25" customHeight="1">
      <c r="A62" s="43"/>
      <c r="B62" s="1332" t="s">
        <v>3780</v>
      </c>
      <c r="C62" s="43"/>
      <c r="D62" s="49"/>
      <c r="E62" s="49"/>
      <c r="F62" s="49"/>
      <c r="G62" s="49"/>
      <c r="H62" s="37"/>
      <c r="I62" s="3434"/>
      <c r="J62" s="3434"/>
      <c r="K62" s="3434"/>
      <c r="L62" s="3434"/>
      <c r="M62" s="47"/>
      <c r="N62" s="63"/>
      <c r="O62" s="3"/>
      <c r="P62" s="1587"/>
    </row>
    <row r="63" spans="1:18" s="44" customFormat="1" ht="33.75" customHeight="1">
      <c r="A63" s="3238" t="s">
        <v>4709</v>
      </c>
      <c r="B63" s="3239"/>
      <c r="C63" s="3239"/>
      <c r="D63" s="3239"/>
      <c r="E63" s="3239"/>
      <c r="F63" s="3239"/>
      <c r="G63" s="3239"/>
      <c r="H63" s="3239"/>
      <c r="I63" s="3239"/>
      <c r="J63" s="3239"/>
      <c r="K63" s="3239"/>
      <c r="L63" s="3239"/>
      <c r="M63" s="3239"/>
      <c r="N63" s="3239"/>
      <c r="O63" s="3239"/>
      <c r="P63" s="3240"/>
      <c r="Q63" s="1174" t="s">
        <v>1266</v>
      </c>
      <c r="R63" s="462"/>
    </row>
    <row r="64" spans="1:18" s="44" customFormat="1" ht="11.45" customHeight="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3165"/>
      <c r="B65" s="3166"/>
      <c r="C65" s="3166"/>
      <c r="D65" s="3166"/>
      <c r="E65" s="3166"/>
      <c r="F65" s="3166"/>
      <c r="G65" s="3166"/>
      <c r="H65" s="3166"/>
      <c r="I65" s="3166"/>
      <c r="J65" s="3166"/>
      <c r="K65" s="3166"/>
      <c r="L65" s="3166"/>
      <c r="M65" s="3166"/>
      <c r="N65" s="3166"/>
      <c r="O65" s="3166"/>
      <c r="P65" s="3167"/>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5</v>
      </c>
      <c r="P67" s="1194">
        <f>IF($J$68="Flexible",MIN($M67,MAX(P80,P84)),IF(AND($J$68="Rural",P89&gt;0),MIN($M89,P89),0))</f>
        <v>0</v>
      </c>
      <c r="Q67" s="112" t="s">
        <v>443</v>
      </c>
      <c r="R67" s="3097" t="s">
        <v>4136</v>
      </c>
      <c r="S67" s="3097"/>
      <c r="T67" s="3097"/>
      <c r="U67" s="3097"/>
    </row>
    <row r="68" spans="1:21" s="44" customFormat="1" ht="17.25" customHeight="1">
      <c r="A68" s="158"/>
      <c r="B68" s="113" t="s">
        <v>3995</v>
      </c>
      <c r="D68" s="42"/>
      <c r="H68" s="172" t="s">
        <v>2812</v>
      </c>
      <c r="I68" s="539"/>
      <c r="J68" s="537" t="str">
        <f>'Part I-Project Information'!$H$100</f>
        <v>Flexible</v>
      </c>
      <c r="K68" s="49"/>
      <c r="M68" s="1584"/>
      <c r="N68" s="484"/>
      <c r="O68" s="1085" t="s">
        <v>3621</v>
      </c>
      <c r="P68" s="1085" t="s">
        <v>3622</v>
      </c>
      <c r="Q68" s="112"/>
      <c r="R68" s="3097"/>
      <c r="S68" s="3097"/>
      <c r="T68" s="3097"/>
      <c r="U68" s="3097"/>
    </row>
    <row r="69" spans="1:21" s="44" customFormat="1" ht="11.25" customHeight="1">
      <c r="A69" s="158"/>
      <c r="B69" s="499" t="s">
        <v>2002</v>
      </c>
      <c r="C69" s="56" t="s">
        <v>3620</v>
      </c>
      <c r="D69" s="42"/>
      <c r="H69" s="46"/>
      <c r="I69" s="50"/>
      <c r="J69" s="49"/>
      <c r="K69" s="49"/>
      <c r="M69" s="1584"/>
      <c r="N69" s="484"/>
      <c r="O69" s="2193" t="s">
        <v>3011</v>
      </c>
      <c r="P69" s="561"/>
      <c r="Q69" s="112"/>
      <c r="R69" s="3097"/>
      <c r="S69" s="3097"/>
      <c r="T69" s="3097"/>
      <c r="U69" s="3097"/>
    </row>
    <row r="70" spans="1:21" s="44" customFormat="1" ht="11.25" customHeight="1">
      <c r="A70" s="158"/>
      <c r="B70" s="499" t="s">
        <v>2004</v>
      </c>
      <c r="C70" s="56" t="s">
        <v>3993</v>
      </c>
      <c r="D70" s="42"/>
      <c r="H70" s="46"/>
      <c r="I70" s="50"/>
      <c r="J70" s="49"/>
      <c r="K70" s="49"/>
      <c r="N70" s="484"/>
      <c r="O70" s="2196" t="s">
        <v>3011</v>
      </c>
      <c r="P70" s="562"/>
      <c r="Q70" s="112"/>
      <c r="R70" s="3097"/>
      <c r="S70" s="3097"/>
      <c r="T70" s="3097"/>
      <c r="U70" s="3097"/>
    </row>
    <row r="71" spans="1:21" s="44" customFormat="1" ht="11.25" customHeight="1">
      <c r="A71" s="158"/>
      <c r="B71" s="499" t="s">
        <v>2551</v>
      </c>
      <c r="C71" s="56" t="s">
        <v>3994</v>
      </c>
      <c r="D71" s="42"/>
      <c r="H71" s="46"/>
      <c r="I71" s="50"/>
      <c r="J71" s="49"/>
      <c r="K71" s="49"/>
      <c r="N71" s="484"/>
      <c r="O71" s="2192" t="s">
        <v>3011</v>
      </c>
      <c r="P71" s="563"/>
      <c r="Q71" s="112"/>
      <c r="R71" s="3097"/>
      <c r="S71" s="3097"/>
      <c r="T71" s="3097"/>
      <c r="U71" s="3097"/>
    </row>
    <row r="72" spans="1:21" s="44" customFormat="1" ht="3" customHeight="1">
      <c r="A72" s="158"/>
      <c r="B72" s="108"/>
      <c r="D72" s="42"/>
      <c r="H72" s="46"/>
      <c r="I72" s="50"/>
      <c r="J72" s="49"/>
      <c r="K72" s="49"/>
      <c r="M72" s="1584"/>
      <c r="N72" s="484"/>
      <c r="O72" s="3"/>
      <c r="P72" s="3"/>
      <c r="Q72" s="112"/>
      <c r="R72" s="3097"/>
      <c r="S72" s="3097"/>
      <c r="T72" s="3097"/>
      <c r="U72" s="3097"/>
    </row>
    <row r="73" spans="1:21" s="44" customFormat="1" ht="13.5" customHeight="1">
      <c r="A73" s="158"/>
      <c r="B73" s="113" t="s">
        <v>4002</v>
      </c>
      <c r="D73" s="42"/>
      <c r="F73" s="3299" t="s">
        <v>3743</v>
      </c>
      <c r="G73" s="3299"/>
      <c r="H73" s="3299"/>
      <c r="I73" s="3299"/>
      <c r="J73" s="3299" t="s">
        <v>3744</v>
      </c>
      <c r="K73" s="3299"/>
      <c r="L73" s="3299"/>
      <c r="M73" s="3299"/>
      <c r="N73" s="484"/>
      <c r="O73" s="3300" t="s">
        <v>4143</v>
      </c>
      <c r="P73" s="3301"/>
      <c r="Q73" s="112"/>
      <c r="R73" s="3097"/>
      <c r="S73" s="3097"/>
      <c r="T73" s="3097"/>
      <c r="U73" s="3097"/>
    </row>
    <row r="74" spans="1:21" s="44" customFormat="1" ht="12.75" customHeight="1">
      <c r="A74" s="158"/>
      <c r="C74" s="512" t="s">
        <v>4001</v>
      </c>
      <c r="D74" s="649"/>
      <c r="E74" s="278"/>
      <c r="F74" s="3303">
        <v>33.760553000000002</v>
      </c>
      <c r="G74" s="3304"/>
      <c r="H74" s="3305"/>
      <c r="I74" s="3306"/>
      <c r="J74" s="3303">
        <v>-84.442694000000003</v>
      </c>
      <c r="K74" s="3304"/>
      <c r="L74" s="3305"/>
      <c r="M74" s="3306"/>
      <c r="N74" s="484"/>
      <c r="Q74" s="112"/>
      <c r="R74" s="3097"/>
      <c r="S74" s="3097"/>
      <c r="T74" s="3097"/>
      <c r="U74" s="3097"/>
    </row>
    <row r="75" spans="1:21" s="44" customFormat="1" ht="12.75" customHeight="1">
      <c r="B75" s="1187"/>
      <c r="D75" s="1272" t="s">
        <v>4003</v>
      </c>
      <c r="E75" s="278"/>
      <c r="F75" s="3476">
        <v>33.752766999999999</v>
      </c>
      <c r="G75" s="3477"/>
      <c r="H75" s="3478"/>
      <c r="I75" s="3479"/>
      <c r="J75" s="3476">
        <v>-84.445294000000004</v>
      </c>
      <c r="K75" s="3477"/>
      <c r="L75" s="3478"/>
      <c r="M75" s="3479"/>
      <c r="N75" s="484"/>
      <c r="O75" s="2197">
        <v>0.7</v>
      </c>
      <c r="P75" s="1281"/>
      <c r="Q75" s="112"/>
      <c r="R75" s="3097"/>
      <c r="S75" s="3097"/>
      <c r="T75" s="3097"/>
      <c r="U75" s="3097"/>
    </row>
    <row r="76" spans="1:21" s="44" customFormat="1" ht="12.75" customHeight="1">
      <c r="A76" s="3309" t="s">
        <v>4193</v>
      </c>
      <c r="B76" s="3309"/>
      <c r="C76" s="512" t="s">
        <v>4144</v>
      </c>
      <c r="D76" s="649"/>
      <c r="E76" s="278"/>
      <c r="F76" s="3362"/>
      <c r="G76" s="3363"/>
      <c r="H76" s="3373"/>
      <c r="I76" s="3374"/>
      <c r="J76" s="3362"/>
      <c r="K76" s="3363"/>
      <c r="L76" s="3373"/>
      <c r="M76" s="3374"/>
      <c r="N76" s="484"/>
      <c r="O76" s="2198"/>
      <c r="P76" s="1280"/>
      <c r="Q76" s="112"/>
      <c r="R76" s="3097"/>
      <c r="S76" s="3097"/>
      <c r="T76" s="3097"/>
      <c r="U76" s="3097"/>
    </row>
    <row r="77" spans="1:21" s="44" customFormat="1" ht="12.75" customHeight="1">
      <c r="A77" s="3309"/>
      <c r="B77" s="3309"/>
      <c r="D77" s="1272" t="s">
        <v>4142</v>
      </c>
      <c r="E77" s="278"/>
      <c r="F77" s="3364"/>
      <c r="G77" s="3365"/>
      <c r="H77" s="3312"/>
      <c r="I77" s="3313"/>
      <c r="J77" s="3364"/>
      <c r="K77" s="3365"/>
      <c r="L77" s="3312"/>
      <c r="M77" s="3313"/>
      <c r="N77" s="484"/>
      <c r="O77" s="2199"/>
      <c r="P77" s="1279"/>
      <c r="Q77" s="112"/>
      <c r="R77" s="3097"/>
      <c r="S77" s="3097"/>
      <c r="T77" s="3097"/>
      <c r="U77" s="3097"/>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3302" t="s">
        <v>4140</v>
      </c>
      <c r="J80" s="3302"/>
      <c r="K80" s="3302"/>
      <c r="L80" s="3302"/>
      <c r="M80" s="1584">
        <v>6</v>
      </c>
      <c r="N80" s="404" t="s">
        <v>1999</v>
      </c>
      <c r="O80" s="1088">
        <f>IF($J$68="Flexible",MIN($M80,O81+O82+O83),0)</f>
        <v>5</v>
      </c>
      <c r="P80" s="1088">
        <f>IF($J$68="Flexible",MIN($M80,P81+P82+P83),0)</f>
        <v>0</v>
      </c>
      <c r="Q80" s="112"/>
    </row>
    <row r="81" spans="1:18" s="427" customFormat="1" ht="23.25" customHeight="1">
      <c r="B81" s="456" t="s">
        <v>2002</v>
      </c>
      <c r="C81" s="3280" t="s">
        <v>3996</v>
      </c>
      <c r="D81" s="3280"/>
      <c r="E81" s="3280"/>
      <c r="F81" s="3280"/>
      <c r="G81" s="3280"/>
      <c r="H81" s="3280"/>
      <c r="I81" s="3302"/>
      <c r="J81" s="3302"/>
      <c r="K81" s="3302"/>
      <c r="L81" s="3302"/>
      <c r="M81" s="534">
        <v>5</v>
      </c>
      <c r="N81" s="499" t="s">
        <v>2002</v>
      </c>
      <c r="O81" s="2200"/>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3302"/>
      <c r="J82" s="3302"/>
      <c r="K82" s="3302"/>
      <c r="L82" s="3302"/>
      <c r="M82" s="534">
        <v>4</v>
      </c>
      <c r="N82" s="499" t="s">
        <v>2004</v>
      </c>
      <c r="O82" s="2194">
        <v>4</v>
      </c>
      <c r="P82" s="1076"/>
      <c r="Q82" s="1090" t="str">
        <f>IF(OR($O82=$M82,$O82=0,$O82=""),"","*CHECK!*")</f>
        <v/>
      </c>
      <c r="R82" s="1244" t="s">
        <v>2724</v>
      </c>
    </row>
    <row r="83" spans="1:18" s="427" customFormat="1" ht="12" customHeight="1">
      <c r="B83" s="456" t="s">
        <v>2551</v>
      </c>
      <c r="C83" s="405" t="s">
        <v>3774</v>
      </c>
      <c r="D83" s="405"/>
      <c r="E83" s="405"/>
      <c r="F83" s="405"/>
      <c r="G83" s="484" t="s">
        <v>4141</v>
      </c>
      <c r="H83" s="1278" t="str">
        <f>'Part I-Project Information'!$H$78</f>
        <v>Other Non-Senior</v>
      </c>
      <c r="I83" s="3352" t="s">
        <v>4623</v>
      </c>
      <c r="J83" s="3353"/>
      <c r="K83" s="3353"/>
      <c r="L83" s="3356">
        <v>404858500</v>
      </c>
      <c r="M83" s="534">
        <v>1</v>
      </c>
      <c r="N83" s="499" t="s">
        <v>2551</v>
      </c>
      <c r="O83" s="2195">
        <v>1</v>
      </c>
      <c r="P83" s="1218"/>
      <c r="Q83" s="1090" t="str">
        <f>IF(OR($O83=$M83,$O83=0,$O83=""),"","*CHECK!*")</f>
        <v/>
      </c>
      <c r="R83" s="1244" t="s">
        <v>2724</v>
      </c>
    </row>
    <row r="84" spans="1:18" s="427" customFormat="1" ht="12" customHeight="1">
      <c r="A84" s="148" t="s">
        <v>2001</v>
      </c>
      <c r="B84" s="1243" t="s">
        <v>3775</v>
      </c>
      <c r="C84" s="677"/>
      <c r="D84" s="677"/>
      <c r="E84" s="677"/>
      <c r="F84" s="1213" t="s">
        <v>3885</v>
      </c>
      <c r="I84" s="3354"/>
      <c r="J84" s="3355"/>
      <c r="K84" s="3355"/>
      <c r="L84" s="3357"/>
      <c r="M84" s="1034">
        <v>3</v>
      </c>
      <c r="N84" s="166" t="s">
        <v>2001</v>
      </c>
      <c r="O84" s="1088">
        <f>IF($J$68="Flexible",MIN($M84,O85+O86+O87),0)</f>
        <v>0</v>
      </c>
      <c r="P84" s="1088">
        <f>IF($J$68="Flexible",MIN($M84,P85+P86+P87),0)</f>
        <v>0</v>
      </c>
      <c r="Q84" s="535"/>
      <c r="R84" s="403"/>
    </row>
    <row r="85" spans="1:18" s="427" customFormat="1" ht="12" customHeight="1">
      <c r="A85" s="143"/>
      <c r="B85" s="456" t="s">
        <v>2002</v>
      </c>
      <c r="C85" s="3360" t="s">
        <v>3998</v>
      </c>
      <c r="D85" s="3360"/>
      <c r="E85" s="3360"/>
      <c r="F85" s="3360"/>
      <c r="G85" s="3360"/>
      <c r="H85" s="3361"/>
      <c r="I85" s="3324" t="s">
        <v>4669</v>
      </c>
      <c r="J85" s="3325"/>
      <c r="K85" s="3325"/>
      <c r="L85" s="3326"/>
      <c r="M85" s="534">
        <v>3</v>
      </c>
      <c r="N85" s="499" t="s">
        <v>2002</v>
      </c>
      <c r="O85" s="2200"/>
      <c r="P85" s="913"/>
      <c r="Q85" s="1090" t="str">
        <f>IF(OR($O85=$M85,$O85=0,$O85=""),"","*CHECK!*")</f>
        <v/>
      </c>
      <c r="R85" s="1244" t="s">
        <v>2724</v>
      </c>
    </row>
    <row r="86" spans="1:18" s="44" customFormat="1" ht="12" customHeight="1">
      <c r="A86" s="1214" t="s">
        <v>1365</v>
      </c>
      <c r="B86" s="456" t="s">
        <v>2004</v>
      </c>
      <c r="C86" s="3360" t="s">
        <v>3999</v>
      </c>
      <c r="D86" s="3360"/>
      <c r="E86" s="3360"/>
      <c r="F86" s="3360"/>
      <c r="G86" s="3360"/>
      <c r="H86" s="3361"/>
      <c r="I86" s="3327"/>
      <c r="J86" s="3328"/>
      <c r="K86" s="3328"/>
      <c r="L86" s="3329"/>
      <c r="M86" s="534">
        <v>2</v>
      </c>
      <c r="N86" s="499" t="s">
        <v>2004</v>
      </c>
      <c r="O86" s="2194"/>
      <c r="P86" s="1076"/>
      <c r="Q86" s="1090" t="str">
        <f>IF(OR($O86=$M86,$O86=0,$O86=""),"","*CHECK!*")</f>
        <v/>
      </c>
      <c r="R86" s="1244" t="s">
        <v>2724</v>
      </c>
    </row>
    <row r="87" spans="1:18" s="44" customFormat="1" ht="14.25" customHeight="1">
      <c r="A87" s="1214" t="s">
        <v>1365</v>
      </c>
      <c r="B87" s="456" t="s">
        <v>2551</v>
      </c>
      <c r="C87" s="3280" t="s">
        <v>4000</v>
      </c>
      <c r="D87" s="3280"/>
      <c r="E87" s="3280"/>
      <c r="F87" s="3280"/>
      <c r="G87" s="3280"/>
      <c r="H87" s="3290"/>
      <c r="I87" s="3324" t="s">
        <v>4669</v>
      </c>
      <c r="J87" s="3325"/>
      <c r="K87" s="3325"/>
      <c r="L87" s="3326"/>
      <c r="M87" s="534">
        <v>1</v>
      </c>
      <c r="N87" s="499" t="s">
        <v>2551</v>
      </c>
      <c r="O87" s="2195"/>
      <c r="P87" s="1218"/>
      <c r="Q87" s="1090" t="str">
        <f>IF(OR($O87=$M87,$O87=0,$O87=""),"","*CHECK!*")</f>
        <v/>
      </c>
      <c r="R87" s="1244" t="s">
        <v>2724</v>
      </c>
    </row>
    <row r="88" spans="1:18" s="44" customFormat="1" ht="12.6" customHeight="1">
      <c r="A88" s="538" t="s">
        <v>2805</v>
      </c>
      <c r="B88" s="172"/>
      <c r="E88" s="42"/>
      <c r="I88" s="3327"/>
      <c r="J88" s="3328"/>
      <c r="K88" s="3328"/>
      <c r="L88" s="3329"/>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201"/>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3165"/>
      <c r="B92" s="3166"/>
      <c r="C92" s="3166"/>
      <c r="D92" s="3166"/>
      <c r="E92" s="3166"/>
      <c r="F92" s="3166"/>
      <c r="G92" s="3166"/>
      <c r="H92" s="3166"/>
      <c r="I92" s="3166"/>
      <c r="J92" s="3166"/>
      <c r="K92" s="3166"/>
      <c r="L92" s="3166"/>
      <c r="M92" s="3166"/>
      <c r="N92" s="3166"/>
      <c r="O92" s="3166"/>
      <c r="P92" s="3167"/>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3320" t="s">
        <v>4008</v>
      </c>
      <c r="C95" s="3320"/>
      <c r="D95" s="3320"/>
      <c r="E95" s="3320"/>
      <c r="F95" s="3320"/>
      <c r="G95" s="3320"/>
      <c r="H95" s="3320"/>
      <c r="O95" s="3371" t="str">
        <f>IF(OR(AND(P102&gt;0,P103&gt;0),AND(P103&gt;0,P104&gt;0),AND(P102&gt;0,P104&gt;0)),"Choose A, B, or C.  See instructions.",IF(AND(P104&gt;0,P105&gt;0),"Choose A or B when choosing D.  See instructions.",""))</f>
        <v/>
      </c>
      <c r="P95" s="3371"/>
      <c r="Q95" s="112"/>
    </row>
    <row r="96" spans="1:18" s="1190" customFormat="1" ht="12.6" customHeight="1">
      <c r="B96" s="3320"/>
      <c r="C96" s="3320"/>
      <c r="D96" s="3320"/>
      <c r="E96" s="3320"/>
      <c r="F96" s="3320"/>
      <c r="G96" s="3320"/>
      <c r="H96" s="3320"/>
      <c r="I96" s="3321" t="s">
        <v>4017</v>
      </c>
      <c r="J96" s="3322"/>
      <c r="K96" s="3322"/>
      <c r="L96" s="3323"/>
      <c r="O96" s="3372"/>
      <c r="P96" s="3372"/>
    </row>
    <row r="97" spans="1:18" s="44" customFormat="1" ht="13.5" customHeight="1">
      <c r="B97" s="172" t="s">
        <v>2812</v>
      </c>
      <c r="G97" s="42"/>
      <c r="H97" s="42"/>
      <c r="I97" s="1215" t="str">
        <f>'Part I-Project Information'!$H$100</f>
        <v>Flexible</v>
      </c>
      <c r="K97" s="28"/>
      <c r="M97" s="1584"/>
      <c r="N97" s="410"/>
      <c r="O97" s="3372"/>
      <c r="P97" s="3372"/>
    </row>
    <row r="98" spans="1:18" s="44" customFormat="1" ht="13.5" customHeight="1">
      <c r="B98" s="172" t="s">
        <v>4005</v>
      </c>
      <c r="G98" s="42"/>
      <c r="H98" s="42"/>
      <c r="I98" s="654"/>
      <c r="K98" s="28"/>
      <c r="M98" s="1584"/>
      <c r="N98" s="410"/>
      <c r="O98" s="3372"/>
      <c r="P98" s="3372"/>
    </row>
    <row r="99" spans="1:18" s="1190" customFormat="1" ht="13.5" customHeight="1">
      <c r="C99" s="1186" t="s">
        <v>4010</v>
      </c>
      <c r="I99" s="2202">
        <v>30</v>
      </c>
      <c r="J99" s="555"/>
      <c r="K99" s="403"/>
      <c r="O99" s="3372"/>
      <c r="P99" s="3372"/>
    </row>
    <row r="100" spans="1:18" s="1190" customFormat="1" ht="13.5" customHeight="1">
      <c r="C100" s="1186" t="s">
        <v>4011</v>
      </c>
      <c r="I100" s="2203">
        <v>58</v>
      </c>
      <c r="J100" s="557"/>
      <c r="K100" s="403"/>
      <c r="O100" s="3369" t="s">
        <v>4019</v>
      </c>
      <c r="P100" s="3369"/>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3370" t="str">
        <f>IF(OR(AND(O102&gt;0,O103&gt;0),AND(O103&gt;0,O104&gt;0),AND(O102&gt;0,O104&gt;0)),"Choose A, B, or C.  See instructions.",IF(AND(O104&gt;0,O105&gt;0),"Choose A or B when choosing D.  See instructions.",""))</f>
        <v/>
      </c>
      <c r="L102" s="3370"/>
      <c r="M102" s="534">
        <v>2</v>
      </c>
      <c r="N102" s="484" t="s">
        <v>1999</v>
      </c>
      <c r="O102" s="2200"/>
      <c r="P102" s="913"/>
      <c r="Q102" s="1090" t="str">
        <f>IF(OR($O102=$M102,$O102=0,$O102=""),"","*CHECK!*")</f>
        <v/>
      </c>
      <c r="R102" s="1244" t="s">
        <v>2724</v>
      </c>
    </row>
    <row r="103" spans="1:18" ht="11.45" customHeight="1">
      <c r="A103" s="143" t="s">
        <v>2001</v>
      </c>
      <c r="B103" s="184" t="s">
        <v>312</v>
      </c>
      <c r="D103" s="34"/>
      <c r="E103" s="34"/>
      <c r="K103" s="3370"/>
      <c r="L103" s="3370"/>
      <c r="M103" s="534">
        <v>1</v>
      </c>
      <c r="N103" s="484" t="s">
        <v>2001</v>
      </c>
      <c r="O103" s="2194"/>
      <c r="P103" s="1076"/>
      <c r="Q103" s="1090" t="str">
        <f>IF(OR($O103=$M103,$O103=0,$O103=""),"","*CHECK!*")</f>
        <v/>
      </c>
      <c r="R103" s="1244" t="s">
        <v>2724</v>
      </c>
    </row>
    <row r="104" spans="1:18" ht="11.45" customHeight="1">
      <c r="A104" s="143" t="s">
        <v>757</v>
      </c>
      <c r="B104" s="184" t="s">
        <v>3904</v>
      </c>
      <c r="D104" s="34"/>
      <c r="E104" s="34"/>
      <c r="F104" s="34"/>
      <c r="K104" s="3370"/>
      <c r="L104" s="3370"/>
      <c r="M104" s="534">
        <v>3</v>
      </c>
      <c r="N104" s="484" t="s">
        <v>757</v>
      </c>
      <c r="O104" s="2194">
        <v>3</v>
      </c>
      <c r="P104" s="1076"/>
      <c r="Q104" s="1090" t="str">
        <f>IF(OR($O104=$M104,$O104=0,$O104=""),"","*CHECK!*")</f>
        <v/>
      </c>
      <c r="R104" s="1244" t="s">
        <v>2724</v>
      </c>
    </row>
    <row r="105" spans="1:18" ht="11.45" customHeight="1">
      <c r="A105" s="143" t="s">
        <v>2131</v>
      </c>
      <c r="B105" s="184" t="s">
        <v>3804</v>
      </c>
      <c r="D105" s="34"/>
      <c r="E105" s="34"/>
      <c r="F105" s="139" t="s">
        <v>4021</v>
      </c>
      <c r="J105" s="2204" t="s">
        <v>4020</v>
      </c>
      <c r="K105" s="3370"/>
      <c r="L105" s="3370"/>
      <c r="M105" s="534">
        <v>1</v>
      </c>
      <c r="N105" s="484" t="s">
        <v>2131</v>
      </c>
      <c r="O105" s="2195"/>
      <c r="P105" s="1218"/>
      <c r="Q105" s="1090" t="str">
        <f>IF(OR($O105=$M105,$O105=0,$O105=""),"","*CHECK!*")</f>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28.5" customHeight="1" thickTop="1" thickBot="1">
      <c r="A107" s="3366" t="s">
        <v>4710</v>
      </c>
      <c r="B107" s="3367"/>
      <c r="C107" s="3367"/>
      <c r="D107" s="3367"/>
      <c r="E107" s="3367"/>
      <c r="F107" s="3367"/>
      <c r="G107" s="3367"/>
      <c r="H107" s="3367"/>
      <c r="I107" s="3367"/>
      <c r="J107" s="3367"/>
      <c r="K107" s="3367"/>
      <c r="L107" s="3367"/>
      <c r="M107" s="3367"/>
      <c r="N107" s="3367"/>
      <c r="O107" s="3367"/>
      <c r="P107" s="3368"/>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3317"/>
      <c r="B109" s="3318"/>
      <c r="C109" s="3318"/>
      <c r="D109" s="3318"/>
      <c r="E109" s="3318"/>
      <c r="F109" s="3318"/>
      <c r="G109" s="3318"/>
      <c r="H109" s="3318"/>
      <c r="I109" s="3318"/>
      <c r="J109" s="3318"/>
      <c r="K109" s="3318"/>
      <c r="L109" s="3318"/>
      <c r="M109" s="3318"/>
      <c r="N109" s="3318"/>
      <c r="O109" s="3318"/>
      <c r="P109" s="3319"/>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4023</v>
      </c>
      <c r="C113" s="95"/>
      <c r="D113" s="119"/>
      <c r="E113" s="430" t="s">
        <v>4148</v>
      </c>
      <c r="G113" s="116"/>
      <c r="I113" s="484" t="s">
        <v>4141</v>
      </c>
      <c r="J113" s="1278" t="str">
        <f>'Part I-Project Information'!$H$78</f>
        <v>Other Non-Senior</v>
      </c>
      <c r="K113" s="42"/>
      <c r="L113" s="391" t="str">
        <f>IF(OR($O113=$M113,$O113=0,$O113=""),"","* * Check Score! * *")</f>
        <v/>
      </c>
      <c r="M113" s="75">
        <v>3</v>
      </c>
      <c r="N113" s="484" t="s">
        <v>1999</v>
      </c>
      <c r="O113" s="2205"/>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4025</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4178</v>
      </c>
      <c r="C116" s="956"/>
      <c r="D116" s="1352"/>
      <c r="E116" s="1352"/>
      <c r="F116" s="1352"/>
      <c r="H116" s="2206" t="s">
        <v>4624</v>
      </c>
      <c r="I116" s="1352"/>
      <c r="J116" s="1352"/>
      <c r="K116" s="1352"/>
      <c r="L116" s="1352"/>
      <c r="M116" s="1593"/>
      <c r="N116" s="181"/>
      <c r="Q116" s="1169"/>
      <c r="R116" s="1169"/>
      <c r="S116" s="1169"/>
      <c r="T116" s="1169"/>
    </row>
    <row r="117" spans="1:20" s="37" customFormat="1" ht="10.5" customHeight="1">
      <c r="A117" s="65"/>
      <c r="C117" s="1291" t="s">
        <v>4179</v>
      </c>
      <c r="D117" s="3345" t="s">
        <v>4698</v>
      </c>
      <c r="E117" s="3346"/>
      <c r="F117" s="3346"/>
      <c r="G117" s="3346"/>
      <c r="H117" s="3346"/>
      <c r="I117" s="3346"/>
      <c r="J117" s="3346"/>
      <c r="K117" s="3346"/>
      <c r="L117" s="3346"/>
      <c r="M117" s="3346"/>
      <c r="N117" s="3346"/>
      <c r="O117" s="3346"/>
      <c r="P117" s="334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205">
        <v>2</v>
      </c>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207" t="s">
        <v>3011</v>
      </c>
      <c r="P120" s="566"/>
      <c r="Q120" s="1169"/>
      <c r="R120" s="1169"/>
      <c r="S120" s="1169"/>
      <c r="T120" s="1169"/>
    </row>
    <row r="121" spans="1:20" s="105" customFormat="1" ht="10.5" customHeight="1">
      <c r="A121" s="185"/>
      <c r="B121" s="942"/>
      <c r="C121" s="53" t="s">
        <v>4028</v>
      </c>
      <c r="D121" s="179" t="s">
        <v>4149</v>
      </c>
      <c r="F121" s="53"/>
      <c r="G121" s="53"/>
      <c r="H121" s="3314" t="s">
        <v>4699</v>
      </c>
      <c r="I121" s="3314"/>
      <c r="J121" s="3314"/>
      <c r="K121" s="3314"/>
      <c r="L121" s="3314"/>
      <c r="M121" s="3314"/>
      <c r="N121" s="3314"/>
      <c r="O121" s="3314"/>
      <c r="P121" s="3314"/>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208" t="s">
        <v>3011</v>
      </c>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3810</v>
      </c>
      <c r="O123" s="2192" t="s">
        <v>3011</v>
      </c>
      <c r="P123" s="563"/>
      <c r="Q123" s="1169"/>
      <c r="R123" s="1169"/>
      <c r="S123" s="1169"/>
      <c r="T123" s="1169"/>
    </row>
    <row r="124" spans="1:20" s="56" customFormat="1" ht="10.5" customHeight="1">
      <c r="A124" s="65"/>
      <c r="C124" s="56" t="s">
        <v>4176</v>
      </c>
      <c r="D124" s="430"/>
      <c r="E124" s="53"/>
      <c r="F124" s="53"/>
      <c r="G124" s="53"/>
      <c r="H124" s="430"/>
      <c r="J124" s="430"/>
      <c r="L124" s="3288" t="s">
        <v>3846</v>
      </c>
      <c r="M124" s="3288"/>
      <c r="N124" s="3288"/>
      <c r="O124" s="3316" t="s">
        <v>3845</v>
      </c>
      <c r="P124" s="3316"/>
      <c r="Q124" s="53"/>
    </row>
    <row r="125" spans="1:20" s="56" customFormat="1" ht="10.5" customHeight="1">
      <c r="A125" s="65"/>
      <c r="B125" s="390"/>
      <c r="C125" s="3378" t="s">
        <v>4700</v>
      </c>
      <c r="D125" s="3379"/>
      <c r="E125" s="3379"/>
      <c r="F125" s="3379"/>
      <c r="G125" s="3379"/>
      <c r="H125" s="3379"/>
      <c r="I125" s="3379"/>
      <c r="J125" s="3379"/>
      <c r="K125" s="3380"/>
      <c r="L125" s="3480" t="s">
        <v>4701</v>
      </c>
      <c r="M125" s="3480"/>
      <c r="N125" s="3480"/>
      <c r="O125" s="3481">
        <v>0</v>
      </c>
      <c r="P125" s="3481"/>
      <c r="Q125" s="1207" t="str">
        <f>IF(O125&gt;15, "Too much!","")</f>
        <v/>
      </c>
    </row>
    <row r="126" spans="1:20" s="56" customFormat="1" ht="10.5" customHeight="1">
      <c r="A126" s="65"/>
      <c r="B126" s="402"/>
      <c r="C126" s="3349" t="s">
        <v>4702</v>
      </c>
      <c r="D126" s="3350"/>
      <c r="E126" s="3350"/>
      <c r="F126" s="3350"/>
      <c r="G126" s="3350"/>
      <c r="H126" s="3350"/>
      <c r="I126" s="3350"/>
      <c r="J126" s="3350"/>
      <c r="K126" s="3351"/>
      <c r="L126" s="3572" t="s">
        <v>4701</v>
      </c>
      <c r="M126" s="3572"/>
      <c r="N126" s="3572"/>
      <c r="O126" s="3583">
        <v>0</v>
      </c>
      <c r="P126" s="3583"/>
      <c r="Q126" s="1207" t="str">
        <f>IF(O126&gt;15, "Too much!","")</f>
        <v/>
      </c>
    </row>
    <row r="127" spans="1:20" s="56" customFormat="1" ht="10.5" customHeight="1">
      <c r="A127" s="65"/>
      <c r="B127" s="390"/>
      <c r="C127" s="3349" t="s">
        <v>4703</v>
      </c>
      <c r="D127" s="3350"/>
      <c r="E127" s="3350"/>
      <c r="F127" s="3350"/>
      <c r="G127" s="3350"/>
      <c r="H127" s="3350"/>
      <c r="I127" s="3350"/>
      <c r="J127" s="3350"/>
      <c r="K127" s="3351"/>
      <c r="L127" s="3572" t="s">
        <v>4701</v>
      </c>
      <c r="M127" s="3572"/>
      <c r="N127" s="3572"/>
      <c r="O127" s="3583">
        <v>0</v>
      </c>
      <c r="P127" s="3583"/>
      <c r="Q127" s="1207" t="str">
        <f>IF(O127&gt;15, "Too much!","")</f>
        <v/>
      </c>
    </row>
    <row r="128" spans="1:20" s="56" customFormat="1" ht="10.5" customHeight="1">
      <c r="A128" s="65"/>
      <c r="B128" s="401"/>
      <c r="C128" s="3375" t="s">
        <v>4704</v>
      </c>
      <c r="D128" s="3376"/>
      <c r="E128" s="3376"/>
      <c r="F128" s="3376"/>
      <c r="G128" s="3376"/>
      <c r="H128" s="3376"/>
      <c r="I128" s="3376"/>
      <c r="J128" s="3376"/>
      <c r="K128" s="3377"/>
      <c r="L128" s="3587" t="s">
        <v>4701</v>
      </c>
      <c r="M128" s="3587"/>
      <c r="N128" s="3587"/>
      <c r="O128" s="3588">
        <v>0</v>
      </c>
      <c r="P128" s="3588"/>
      <c r="Q128" s="1207" t="str">
        <f>IF(O128&gt;15, "Too much!","")</f>
        <v/>
      </c>
    </row>
    <row r="129" spans="1:21" s="105" customFormat="1" ht="10.5" customHeight="1">
      <c r="B129" s="942"/>
      <c r="C129" s="53" t="s">
        <v>4029</v>
      </c>
      <c r="D129" s="37" t="s">
        <v>4032</v>
      </c>
      <c r="E129" s="53"/>
      <c r="F129" s="53"/>
      <c r="G129" s="53"/>
      <c r="H129" s="95"/>
      <c r="I129" s="95"/>
      <c r="J129" s="95"/>
      <c r="K129" s="95"/>
      <c r="L129" s="95"/>
      <c r="M129" s="95"/>
      <c r="N129" s="1102" t="s">
        <v>3809</v>
      </c>
      <c r="O129" s="2193" t="s">
        <v>3011</v>
      </c>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192" t="s">
        <v>3011</v>
      </c>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193" t="s">
        <v>3011</v>
      </c>
      <c r="H132" s="561"/>
      <c r="I132" s="956" t="s">
        <v>4213</v>
      </c>
      <c r="L132" s="65"/>
      <c r="M132" s="65"/>
      <c r="N132" s="65"/>
      <c r="O132" s="2193" t="s">
        <v>3011</v>
      </c>
      <c r="P132" s="561"/>
      <c r="Q132" s="53"/>
    </row>
    <row r="133" spans="1:21" s="56" customFormat="1" ht="10.5" customHeight="1">
      <c r="A133" s="65"/>
      <c r="B133" s="65"/>
      <c r="C133" s="956" t="s">
        <v>4540</v>
      </c>
      <c r="D133" s="65"/>
      <c r="E133" s="65"/>
      <c r="F133" s="65"/>
      <c r="G133" s="2196" t="s">
        <v>3011</v>
      </c>
      <c r="H133" s="562"/>
      <c r="I133" s="53" t="s">
        <v>4214</v>
      </c>
      <c r="L133" s="65"/>
      <c r="M133" s="65"/>
      <c r="N133" s="65"/>
      <c r="O133" s="2196" t="s">
        <v>3011</v>
      </c>
      <c r="P133" s="562"/>
      <c r="Q133" s="53"/>
    </row>
    <row r="134" spans="1:21" s="56" customFormat="1" ht="10.5" customHeight="1">
      <c r="A134" s="65"/>
      <c r="B134" s="65"/>
      <c r="C134" s="956" t="s">
        <v>4212</v>
      </c>
      <c r="D134" s="65"/>
      <c r="E134" s="65"/>
      <c r="F134" s="65"/>
      <c r="G134" s="2196" t="s">
        <v>3011</v>
      </c>
      <c r="H134" s="562"/>
      <c r="I134" s="956" t="s">
        <v>4215</v>
      </c>
      <c r="L134" s="65"/>
      <c r="M134" s="65"/>
      <c r="N134" s="65"/>
      <c r="O134" s="2196"/>
      <c r="P134" s="562"/>
      <c r="Q134" s="53"/>
    </row>
    <row r="135" spans="1:21" s="56" customFormat="1" ht="10.5" customHeight="1">
      <c r="A135" s="65"/>
      <c r="B135" s="65"/>
      <c r="C135" s="3584" t="s">
        <v>4705</v>
      </c>
      <c r="D135" s="3585"/>
      <c r="E135" s="3585"/>
      <c r="F135" s="3586"/>
      <c r="G135" s="2192"/>
      <c r="H135" s="1292"/>
      <c r="I135" s="3584" t="s">
        <v>4216</v>
      </c>
      <c r="J135" s="3585"/>
      <c r="K135" s="3585"/>
      <c r="L135" s="3585"/>
      <c r="M135" s="3585"/>
      <c r="N135" s="3586"/>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205">
        <v>1</v>
      </c>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207" t="s">
        <v>4604</v>
      </c>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3809</v>
      </c>
      <c r="O139" s="2208" t="s">
        <v>3011</v>
      </c>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3810</v>
      </c>
      <c r="O140" s="2196" t="s">
        <v>3011</v>
      </c>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3811</v>
      </c>
      <c r="O141" s="2196" t="s">
        <v>3011</v>
      </c>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3813</v>
      </c>
      <c r="O142" s="2196" t="s">
        <v>3011</v>
      </c>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3814</v>
      </c>
      <c r="O143" s="2192" t="s">
        <v>3011</v>
      </c>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209" t="s">
        <v>3011</v>
      </c>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3378" t="s">
        <v>4706</v>
      </c>
      <c r="D146" s="3379"/>
      <c r="E146" s="3379"/>
      <c r="F146" s="3380"/>
      <c r="G146" s="3378" t="s">
        <v>4707</v>
      </c>
      <c r="H146" s="3379"/>
      <c r="I146" s="3379"/>
      <c r="J146" s="3379"/>
      <c r="K146" s="3379"/>
      <c r="L146" s="3379"/>
      <c r="M146" s="3379"/>
      <c r="N146" s="3379"/>
      <c r="O146" s="3379"/>
      <c r="P146" s="3380"/>
      <c r="Q146" s="53"/>
    </row>
    <row r="147" spans="1:18" s="56" customFormat="1" ht="10.5" customHeight="1">
      <c r="A147" s="65"/>
      <c r="B147" s="402"/>
      <c r="C147" s="3349"/>
      <c r="D147" s="3350"/>
      <c r="E147" s="3350"/>
      <c r="F147" s="3351"/>
      <c r="G147" s="3349"/>
      <c r="H147" s="3350"/>
      <c r="I147" s="3350"/>
      <c r="J147" s="3350"/>
      <c r="K147" s="3350"/>
      <c r="L147" s="3350"/>
      <c r="M147" s="3350"/>
      <c r="N147" s="3350"/>
      <c r="O147" s="3350"/>
      <c r="P147" s="3351"/>
      <c r="Q147" s="53"/>
    </row>
    <row r="148" spans="1:18" s="56" customFormat="1" ht="10.5" customHeight="1">
      <c r="A148" s="3358" t="s">
        <v>4217</v>
      </c>
      <c r="B148" s="3358"/>
      <c r="C148" s="3349"/>
      <c r="D148" s="3350"/>
      <c r="E148" s="3350"/>
      <c r="F148" s="3351"/>
      <c r="G148" s="3349"/>
      <c r="H148" s="3350"/>
      <c r="I148" s="3350"/>
      <c r="J148" s="3350"/>
      <c r="K148" s="3350"/>
      <c r="L148" s="3350"/>
      <c r="M148" s="3350"/>
      <c r="N148" s="3350"/>
      <c r="O148" s="3350"/>
      <c r="P148" s="3351"/>
      <c r="Q148" s="53"/>
    </row>
    <row r="149" spans="1:18" s="56" customFormat="1" ht="10.5" customHeight="1">
      <c r="A149" s="3358"/>
      <c r="B149" s="3358"/>
      <c r="C149" s="3375"/>
      <c r="D149" s="3376"/>
      <c r="E149" s="3376"/>
      <c r="F149" s="3377"/>
      <c r="G149" s="3375"/>
      <c r="H149" s="3376"/>
      <c r="I149" s="3376"/>
      <c r="J149" s="3376"/>
      <c r="K149" s="3376"/>
      <c r="L149" s="3376"/>
      <c r="M149" s="3376"/>
      <c r="N149" s="3376"/>
      <c r="O149" s="3376"/>
      <c r="P149" s="3377"/>
      <c r="Q149" s="53"/>
    </row>
    <row r="150" spans="1:18" s="44" customFormat="1" ht="4.5" customHeight="1">
      <c r="A150" s="3359"/>
      <c r="B150" s="3359"/>
      <c r="C150" s="101"/>
      <c r="D150" s="88"/>
      <c r="E150" s="102"/>
      <c r="F150" s="1592"/>
      <c r="G150" s="1592"/>
      <c r="H150" s="1592"/>
      <c r="I150" s="1592"/>
      <c r="J150" s="1592"/>
      <c r="K150" s="1592"/>
      <c r="L150" s="1592"/>
      <c r="M150" s="1592"/>
      <c r="N150" s="77"/>
      <c r="O150" s="73"/>
      <c r="P150" s="1584"/>
      <c r="Q150" s="441"/>
    </row>
    <row r="151" spans="1:18" s="44" customFormat="1" ht="11.25" customHeight="1">
      <c r="A151" s="3165"/>
      <c r="B151" s="3166"/>
      <c r="C151" s="3166"/>
      <c r="D151" s="3166"/>
      <c r="E151" s="3166"/>
      <c r="F151" s="3166"/>
      <c r="G151" s="3166"/>
      <c r="H151" s="3166"/>
      <c r="I151" s="3166"/>
      <c r="J151" s="3166"/>
      <c r="K151" s="3166"/>
      <c r="L151" s="3166"/>
      <c r="M151" s="3166"/>
      <c r="N151" s="3166"/>
      <c r="O151" s="3166"/>
      <c r="P151" s="3167"/>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0</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210"/>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15" t="s">
        <v>4219</v>
      </c>
      <c r="C158" s="3315"/>
      <c r="D158" s="3315"/>
      <c r="E158" s="53" t="s">
        <v>3853</v>
      </c>
      <c r="F158" s="105"/>
      <c r="G158" s="53"/>
      <c r="H158" s="105"/>
      <c r="I158" s="3345"/>
      <c r="J158" s="3346"/>
      <c r="K158" s="3346"/>
      <c r="L158" s="3347"/>
    </row>
    <row r="159" spans="1:18" s="44" customFormat="1" ht="11.25" customHeight="1">
      <c r="A159" s="143"/>
      <c r="B159" s="3315"/>
      <c r="C159" s="3315"/>
      <c r="D159" s="3315"/>
      <c r="E159" s="41" t="s">
        <v>3855</v>
      </c>
      <c r="F159" s="391"/>
      <c r="G159" s="105"/>
      <c r="H159" s="105"/>
      <c r="I159" s="41"/>
      <c r="J159" s="1602"/>
      <c r="K159" s="1602"/>
      <c r="L159" s="1602"/>
      <c r="M159" s="105"/>
      <c r="N159" s="1222"/>
      <c r="O159" s="2210"/>
      <c r="P159" s="559"/>
      <c r="Q159" s="138"/>
    </row>
    <row r="160" spans="1:18" s="44" customFormat="1" ht="12" customHeight="1">
      <c r="A160" s="43"/>
      <c r="C160" s="1592"/>
      <c r="D160" s="1592"/>
      <c r="E160" s="53" t="s">
        <v>2924</v>
      </c>
      <c r="F160" s="3348" t="str">
        <f>'Part I-Project Information'!$H$78</f>
        <v>Other Non-Senior</v>
      </c>
      <c r="G160" s="3348"/>
      <c r="I160" s="1592"/>
      <c r="J160" s="1592"/>
      <c r="K160" s="1592"/>
      <c r="L160" s="1592"/>
      <c r="M160" s="1592"/>
      <c r="N160" s="77"/>
      <c r="O160" s="73"/>
      <c r="P160" s="941"/>
    </row>
    <row r="161" spans="1:24" s="44" customFormat="1" ht="13.5" customHeight="1">
      <c r="A161" s="143"/>
      <c r="B161" s="579"/>
      <c r="C161" s="578"/>
      <c r="D161" s="578"/>
      <c r="E161" s="1354"/>
      <c r="H161" s="3341" t="s">
        <v>3851</v>
      </c>
      <c r="I161" s="3473" t="s">
        <v>3897</v>
      </c>
      <c r="J161" s="3474"/>
      <c r="K161" s="3474"/>
      <c r="L161" s="3475"/>
      <c r="M161" s="3343" t="s">
        <v>3850</v>
      </c>
      <c r="N161" s="3343"/>
      <c r="O161" s="3343" t="s">
        <v>3854</v>
      </c>
      <c r="P161" s="3343"/>
      <c r="Q161" s="138"/>
    </row>
    <row r="162" spans="1:24" s="44" customFormat="1" ht="13.5" customHeight="1">
      <c r="A162" s="143"/>
      <c r="B162" s="584" t="s">
        <v>3848</v>
      </c>
      <c r="C162" s="1602"/>
      <c r="D162" s="3344" t="s">
        <v>3852</v>
      </c>
      <c r="E162" s="3344"/>
      <c r="F162" s="3344"/>
      <c r="G162" s="1599" t="s">
        <v>3420</v>
      </c>
      <c r="H162" s="3342"/>
      <c r="I162" s="544">
        <v>2014</v>
      </c>
      <c r="J162" s="544">
        <v>2015</v>
      </c>
      <c r="K162" s="544">
        <v>2016</v>
      </c>
      <c r="L162" s="544">
        <v>2017</v>
      </c>
      <c r="M162" s="3343"/>
      <c r="N162" s="3343"/>
      <c r="O162" s="3343"/>
      <c r="P162" s="3343"/>
      <c r="Q162" s="3394" t="s">
        <v>3849</v>
      </c>
      <c r="R162" s="3394"/>
    </row>
    <row r="163" spans="1:24" s="44" customFormat="1" ht="13.5" customHeight="1">
      <c r="A163" s="390" t="s">
        <v>2451</v>
      </c>
      <c r="B163" s="626" t="s">
        <v>4043</v>
      </c>
      <c r="D163" s="3513"/>
      <c r="E163" s="3514"/>
      <c r="F163" s="3515"/>
      <c r="G163" s="2211"/>
      <c r="H163" s="2212"/>
      <c r="I163" s="2213"/>
      <c r="J163" s="2214"/>
      <c r="K163" s="2214"/>
      <c r="L163" s="2215"/>
      <c r="M163" s="3339" t="str">
        <f>IF(I163+J163+K163+L163=0,"",AVERAGE(I163,J163,K163,L163))</f>
        <v/>
      </c>
      <c r="N163" s="3340"/>
      <c r="O163" s="662" t="str">
        <f>IF(M163="","",IF(M163&gt;Q163,"Yes",IF(M163&lt;Q163,"No","")))</f>
        <v/>
      </c>
      <c r="Q163" s="3508">
        <v>73.400000000000006</v>
      </c>
      <c r="R163" s="3509"/>
      <c r="S163" s="55"/>
    </row>
    <row r="164" spans="1:24" s="44" customFormat="1" ht="13.5" customHeight="1">
      <c r="A164" s="402" t="s">
        <v>2452</v>
      </c>
      <c r="B164" s="626" t="s">
        <v>4218</v>
      </c>
      <c r="D164" s="3516"/>
      <c r="E164" s="3517"/>
      <c r="F164" s="3518"/>
      <c r="G164" s="2216"/>
      <c r="H164" s="2217"/>
      <c r="I164" s="2218"/>
      <c r="J164" s="2219"/>
      <c r="K164" s="2219"/>
      <c r="L164" s="2220"/>
      <c r="M164" s="3337" t="str">
        <f>IF(I164+J164+K164+L164=0,"",AVERAGE(I164,J164,K164,L164))</f>
        <v/>
      </c>
      <c r="N164" s="3338"/>
      <c r="O164" s="663" t="str">
        <f>IF(M164="","",IF(M164&gt;Q164,"Yes",IF(M164&lt;Q164,"No","")))</f>
        <v/>
      </c>
      <c r="Q164" s="3508">
        <v>72.099999999999994</v>
      </c>
      <c r="R164" s="3509"/>
      <c r="S164" s="55"/>
    </row>
    <row r="165" spans="1:24" s="44" customFormat="1" ht="13.5" customHeight="1">
      <c r="A165" s="390" t="s">
        <v>2453</v>
      </c>
      <c r="B165" s="626" t="s">
        <v>4041</v>
      </c>
      <c r="D165" s="3510"/>
      <c r="E165" s="3511"/>
      <c r="F165" s="3512"/>
      <c r="G165" s="2221"/>
      <c r="H165" s="2222"/>
      <c r="I165" s="2223"/>
      <c r="J165" s="2224"/>
      <c r="K165" s="2224"/>
      <c r="L165" s="2225"/>
      <c r="M165" s="3335" t="str">
        <f>IF(I165+J165+K165+L165=0,"",AVERAGE(I165,J165,K165,L165))</f>
        <v/>
      </c>
      <c r="N165" s="3336"/>
      <c r="O165" s="664" t="str">
        <f>IF(M165="","",IF(M165&gt;Q165,"Yes",IF(M165&lt;Q165,"No","")))</f>
        <v/>
      </c>
      <c r="Q165" s="3508">
        <v>73.3</v>
      </c>
      <c r="R165" s="3509"/>
      <c r="S165" s="55"/>
    </row>
    <row r="166" spans="1:24" s="44" customFormat="1" ht="1.5" customHeight="1">
      <c r="A166" s="390"/>
      <c r="B166" s="626"/>
    </row>
    <row r="167" spans="1:24" s="44" customFormat="1" ht="13.5" customHeight="1">
      <c r="A167" s="401" t="s">
        <v>2454</v>
      </c>
      <c r="B167" s="1032" t="s">
        <v>4043</v>
      </c>
      <c r="D167" s="443" t="str">
        <f>IF(D163="","",D163)</f>
        <v/>
      </c>
      <c r="G167" s="544" t="str">
        <f t="shared" ref="G167:H169" si="0">IF(G163="","",G163)</f>
        <v/>
      </c>
      <c r="H167" s="544" t="str">
        <f t="shared" si="0"/>
        <v/>
      </c>
      <c r="I167" s="1132"/>
      <c r="J167" s="1133"/>
      <c r="K167" s="1133"/>
      <c r="L167" s="1134"/>
      <c r="M167" s="3339" t="str">
        <f>IF(I167+J167+K167+L167=0,"",AVERAGE(I167,J167,K167,L167))</f>
        <v/>
      </c>
      <c r="N167" s="3340"/>
      <c r="P167" s="665" t="str">
        <f>IF(M167="","",IF(M167&gt;Q163,"Yes",IF(M167&lt;Q163,"No","")))</f>
        <v/>
      </c>
    </row>
    <row r="168" spans="1:24" s="44" customFormat="1" ht="13.5" customHeight="1">
      <c r="A168" s="1102" t="s">
        <v>2455</v>
      </c>
      <c r="B168" s="1032" t="s">
        <v>4042</v>
      </c>
      <c r="D168" s="443" t="str">
        <f>IF(D164="","",D164)</f>
        <v/>
      </c>
      <c r="G168" s="544" t="str">
        <f t="shared" si="0"/>
        <v/>
      </c>
      <c r="H168" s="544" t="str">
        <f t="shared" si="0"/>
        <v/>
      </c>
      <c r="I168" s="1135"/>
      <c r="J168" s="1136"/>
      <c r="K168" s="1136"/>
      <c r="L168" s="1137"/>
      <c r="M168" s="3337" t="str">
        <f>IF(I168+J168+K168+L168=0,"",AVERAGE(I168,J168,K168,L168))</f>
        <v/>
      </c>
      <c r="N168" s="3338"/>
      <c r="P168" s="666" t="str">
        <f>IF(M168="","",IF(M168&gt;Q164,"Yes",IF(M168&lt;Q164,"No","")))</f>
        <v/>
      </c>
    </row>
    <row r="169" spans="1:24" s="44" customFormat="1" ht="13.5" customHeight="1">
      <c r="A169" s="401" t="s">
        <v>2471</v>
      </c>
      <c r="B169" s="1032" t="s">
        <v>4041</v>
      </c>
      <c r="D169" s="443" t="str">
        <f>IF(D165="","",D165)</f>
        <v/>
      </c>
      <c r="G169" s="544" t="str">
        <f t="shared" si="0"/>
        <v/>
      </c>
      <c r="H169" s="544" t="str">
        <f t="shared" si="0"/>
        <v/>
      </c>
      <c r="I169" s="1138"/>
      <c r="J169" s="1139"/>
      <c r="K169" s="1139"/>
      <c r="L169" s="1140"/>
      <c r="M169" s="3335" t="str">
        <f>IF(I169+J169+K169+L169=0,"",AVERAGE(I169,J169,K169,L169))</f>
        <v/>
      </c>
      <c r="N169" s="3336"/>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4045</v>
      </c>
      <c r="C171" s="95"/>
      <c r="D171" s="1191"/>
      <c r="E171" s="1191"/>
      <c r="F171" s="62" t="s">
        <v>3413</v>
      </c>
      <c r="H171" s="41" t="s">
        <v>3898</v>
      </c>
      <c r="M171" s="445">
        <v>2</v>
      </c>
      <c r="N171" s="181"/>
      <c r="O171" s="1194">
        <f>IF(AND(I180="Yes",I181="Yes"),$H$181,IF(AND(I180="Yes",I181="No"),$H$180,0))</f>
        <v>0</v>
      </c>
      <c r="P171" s="1194">
        <f>IF(AND(J180="Yes",J181="Yes"),$H$181,IF(AND(J180="Yes",J181="No"),$H$180,0))</f>
        <v>0</v>
      </c>
      <c r="Q171" s="112"/>
      <c r="R171" s="1192"/>
    </row>
    <row r="172" spans="1:24" s="56" customFormat="1" ht="15" customHeight="1">
      <c r="E172" s="3333" t="s">
        <v>4221</v>
      </c>
      <c r="F172" s="3333" t="s">
        <v>3686</v>
      </c>
      <c r="G172" s="3559" t="s">
        <v>3421</v>
      </c>
      <c r="H172" s="3559"/>
      <c r="I172" s="3559"/>
      <c r="J172" s="3559"/>
      <c r="K172" s="3559"/>
      <c r="L172" s="3559"/>
      <c r="M172" s="3559"/>
      <c r="N172" s="3559"/>
      <c r="P172" s="1224"/>
      <c r="R172" s="430" t="s">
        <v>2851</v>
      </c>
      <c r="T172" s="3530" t="str">
        <f>'Part I-Project Information'!$F$38</f>
        <v>Atlanta</v>
      </c>
      <c r="U172" s="3531"/>
      <c r="V172" s="3531"/>
      <c r="W172" s="3531"/>
      <c r="X172" s="3532"/>
    </row>
    <row r="173" spans="1:24" s="56" customFormat="1" ht="13.5" customHeight="1">
      <c r="A173" s="48"/>
      <c r="B173" s="3567" t="s">
        <v>4048</v>
      </c>
      <c r="C173" s="3567"/>
      <c r="D173" s="3567"/>
      <c r="E173" s="3334"/>
      <c r="F173" s="3334"/>
      <c r="G173" s="3558" t="s">
        <v>4047</v>
      </c>
      <c r="H173" s="3558"/>
      <c r="I173" s="3558"/>
      <c r="J173" s="3558"/>
      <c r="K173" s="3558"/>
      <c r="L173" s="3558"/>
      <c r="M173" s="3558"/>
      <c r="N173" s="3558"/>
      <c r="O173" s="3333" t="s">
        <v>3687</v>
      </c>
      <c r="P173" s="3333"/>
      <c r="R173" s="59" t="s">
        <v>2852</v>
      </c>
      <c r="T173" s="3527" t="str">
        <f>'Part I-Project Information'!$J$39</f>
        <v>Fulton</v>
      </c>
      <c r="U173" s="3528"/>
      <c r="V173" s="3528"/>
      <c r="W173" s="3528"/>
      <c r="X173" s="3529"/>
    </row>
    <row r="174" spans="1:24" s="56" customFormat="1" ht="13.5" customHeight="1">
      <c r="A174" s="48"/>
      <c r="B174" s="3563" t="s">
        <v>3857</v>
      </c>
      <c r="C174" s="3563"/>
      <c r="D174" s="3563"/>
      <c r="E174" s="1607">
        <v>3000</v>
      </c>
      <c r="F174" s="1607">
        <v>6000</v>
      </c>
      <c r="G174" s="3550">
        <v>15000</v>
      </c>
      <c r="H174" s="3550"/>
      <c r="I174" s="3550"/>
      <c r="J174" s="3550"/>
      <c r="K174" s="3550"/>
      <c r="L174" s="3550"/>
      <c r="M174" s="3550"/>
      <c r="N174" s="3550"/>
      <c r="O174" s="3550">
        <v>20000</v>
      </c>
      <c r="P174" s="3550"/>
      <c r="R174" s="443" t="s">
        <v>2853</v>
      </c>
      <c r="T174" s="3527" t="str">
        <f>'Part I-Project Information'!$O$40</f>
        <v>Atlanta-Sandy Springs-Marietta</v>
      </c>
      <c r="U174" s="3528"/>
      <c r="V174" s="3528"/>
      <c r="W174" s="3528"/>
      <c r="X174" s="3529"/>
    </row>
    <row r="175" spans="1:24" s="37" customFormat="1" ht="13.5" customHeight="1">
      <c r="A175" s="48"/>
      <c r="B175" s="3571" t="s">
        <v>4046</v>
      </c>
      <c r="C175" s="3571"/>
      <c r="D175" s="3571"/>
      <c r="E175" s="1608">
        <v>4500</v>
      </c>
      <c r="F175" s="1608">
        <v>9000</v>
      </c>
      <c r="G175" s="3557">
        <v>22500</v>
      </c>
      <c r="H175" s="3557"/>
      <c r="I175" s="3557"/>
      <c r="J175" s="3557"/>
      <c r="K175" s="3557"/>
      <c r="L175" s="3557"/>
      <c r="M175" s="3557"/>
      <c r="N175" s="3557"/>
      <c r="O175" s="3557">
        <v>30000</v>
      </c>
      <c r="P175" s="3557"/>
      <c r="R175" s="41" t="s">
        <v>3891</v>
      </c>
      <c r="T175" s="3560" t="str">
        <f>VLOOKUP('Part I-Project Information'!$J$39,'DCA Underwriting Assumptions'!$G$155:$J$314,4)</f>
        <v>MSA</v>
      </c>
      <c r="U175" s="3561"/>
      <c r="V175" s="3561"/>
      <c r="W175" s="3561"/>
      <c r="X175" s="3562"/>
    </row>
    <row r="176" spans="1:24" s="56" customFormat="1" ht="9" customHeight="1">
      <c r="A176" s="48"/>
      <c r="B176" s="48"/>
      <c r="C176" s="430"/>
      <c r="K176" s="544"/>
      <c r="L176" s="544"/>
    </row>
    <row r="177" spans="1:24" s="56" customFormat="1" ht="13.5" customHeight="1">
      <c r="B177" s="959" t="s">
        <v>3892</v>
      </c>
      <c r="E177" s="958"/>
      <c r="F177" s="958"/>
      <c r="G177" s="958"/>
      <c r="I177" s="2226"/>
      <c r="J177" s="1256"/>
      <c r="R177" s="56" t="s">
        <v>3652</v>
      </c>
      <c r="T177" s="3564" t="str">
        <f>'Part I-Project Information'!$K$40</f>
        <v>Urban</v>
      </c>
      <c r="U177" s="3565"/>
      <c r="V177" s="3565"/>
      <c r="W177" s="3565"/>
      <c r="X177" s="3566"/>
    </row>
    <row r="178" spans="1:24" s="56" customFormat="1" ht="13.5" customHeight="1">
      <c r="A178" s="961"/>
      <c r="B178" s="443" t="s">
        <v>3651</v>
      </c>
      <c r="H178" s="960" t="str">
        <f>IF(I178&lt;I177,"Threshold not met!","")</f>
        <v/>
      </c>
      <c r="I178" s="2227"/>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1.75" customHeight="1" thickTop="1" thickBot="1">
      <c r="A185" s="3461"/>
      <c r="B185" s="3462"/>
      <c r="C185" s="3462"/>
      <c r="D185" s="3462"/>
      <c r="E185" s="3462"/>
      <c r="F185" s="3462"/>
      <c r="G185" s="3462"/>
      <c r="H185" s="3462"/>
      <c r="I185" s="3462"/>
      <c r="J185" s="3462"/>
      <c r="K185" s="3462"/>
      <c r="L185" s="3462"/>
      <c r="M185" s="3462"/>
      <c r="N185" s="3462"/>
      <c r="O185" s="3462"/>
      <c r="P185" s="346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3165"/>
      <c r="B187" s="3166"/>
      <c r="C187" s="3166"/>
      <c r="D187" s="3166"/>
      <c r="E187" s="3166"/>
      <c r="F187" s="3166"/>
      <c r="G187" s="3166"/>
      <c r="H187" s="3166"/>
      <c r="I187" s="3166"/>
      <c r="J187" s="3166"/>
      <c r="K187" s="3166"/>
      <c r="L187" s="3166"/>
      <c r="M187" s="3166"/>
      <c r="N187" s="3166"/>
      <c r="O187" s="3166"/>
      <c r="P187" s="3167"/>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3203" t="s">
        <v>4184</v>
      </c>
      <c r="D193" s="3203"/>
      <c r="E193" s="3203"/>
      <c r="F193" s="3203"/>
      <c r="G193" s="3203"/>
      <c r="H193" s="3203"/>
      <c r="I193" s="3203"/>
      <c r="J193" s="1102" t="s">
        <v>2451</v>
      </c>
      <c r="K193" s="2228"/>
      <c r="L193" s="1343"/>
      <c r="M193" s="3330" t="s">
        <v>3887</v>
      </c>
      <c r="N193" s="3331"/>
      <c r="O193" s="3331"/>
      <c r="P193" s="3332"/>
    </row>
    <row r="194" spans="1:25" s="44" customFormat="1" ht="10.5" customHeight="1">
      <c r="A194" s="388"/>
      <c r="B194" s="390"/>
      <c r="C194" s="3203"/>
      <c r="D194" s="3203"/>
      <c r="E194" s="3203"/>
      <c r="F194" s="3203"/>
      <c r="G194" s="3203"/>
      <c r="H194" s="3203"/>
      <c r="I194" s="3203"/>
      <c r="K194" s="1314"/>
      <c r="L194" s="1314"/>
    </row>
    <row r="195" spans="1:25" s="44" customFormat="1" ht="10.5" customHeight="1">
      <c r="A195" s="388"/>
      <c r="B195" s="402" t="s">
        <v>2452</v>
      </c>
      <c r="C195" s="3315" t="s">
        <v>3630</v>
      </c>
      <c r="D195" s="3315"/>
      <c r="E195" s="3315"/>
      <c r="F195" s="3315"/>
      <c r="G195" s="3315"/>
      <c r="J195" s="390" t="s">
        <v>2452</v>
      </c>
      <c r="K195" s="2229"/>
      <c r="L195" s="569"/>
      <c r="M195" s="3330" t="s">
        <v>3887</v>
      </c>
      <c r="N195" s="3331"/>
      <c r="O195" s="3331"/>
      <c r="P195" s="3332"/>
    </row>
    <row r="196" spans="1:25" s="406" customFormat="1" ht="10.5" customHeight="1">
      <c r="B196" s="402" t="s">
        <v>2453</v>
      </c>
      <c r="C196" s="1007" t="s">
        <v>2843</v>
      </c>
      <c r="D196" s="1007"/>
      <c r="E196" s="1007"/>
      <c r="F196" s="1007"/>
      <c r="G196" s="1007"/>
      <c r="H196" s="1007"/>
      <c r="J196" s="402" t="s">
        <v>2453</v>
      </c>
      <c r="K196" s="2229"/>
      <c r="L196" s="569"/>
      <c r="M196" s="3330" t="s">
        <v>3887</v>
      </c>
      <c r="N196" s="3331"/>
      <c r="O196" s="3331"/>
      <c r="P196" s="3332"/>
    </row>
    <row r="197" spans="1:25" s="406" customFormat="1" ht="10.5" customHeight="1">
      <c r="B197" s="402" t="s">
        <v>2454</v>
      </c>
      <c r="C197" s="1033" t="s">
        <v>4060</v>
      </c>
      <c r="D197" s="144"/>
      <c r="E197" s="144"/>
      <c r="F197" s="144"/>
      <c r="G197" s="144"/>
      <c r="H197" s="144"/>
      <c r="J197" s="402" t="s">
        <v>2454</v>
      </c>
      <c r="K197" s="2229"/>
      <c r="L197" s="569"/>
      <c r="M197" s="3330" t="s">
        <v>3887</v>
      </c>
      <c r="N197" s="3331"/>
      <c r="O197" s="3331"/>
      <c r="P197" s="3332"/>
    </row>
    <row r="198" spans="1:25" s="406" customFormat="1" ht="10.5" customHeight="1">
      <c r="B198" s="1102"/>
      <c r="D198" s="144" t="s">
        <v>4228</v>
      </c>
      <c r="E198" s="144"/>
      <c r="H198" s="144"/>
      <c r="J198" s="1102"/>
      <c r="K198" s="2230"/>
      <c r="L198" s="571"/>
    </row>
    <row r="199" spans="1:25" s="406" customFormat="1" ht="10.5" customHeight="1">
      <c r="B199" s="402" t="s">
        <v>2455</v>
      </c>
      <c r="C199" s="1007" t="s">
        <v>4050</v>
      </c>
      <c r="D199" s="1007"/>
      <c r="E199" s="1007"/>
      <c r="F199" s="1007"/>
      <c r="G199" s="1007"/>
      <c r="H199" s="1007"/>
      <c r="J199" s="402" t="s">
        <v>2455</v>
      </c>
      <c r="K199" s="2229"/>
      <c r="L199" s="569"/>
      <c r="M199" s="3330" t="s">
        <v>3887</v>
      </c>
      <c r="N199" s="3331"/>
      <c r="O199" s="3331"/>
      <c r="P199" s="3332"/>
    </row>
    <row r="200" spans="1:25" s="406" customFormat="1" ht="10.5" customHeight="1">
      <c r="B200" s="1102" t="s">
        <v>2471</v>
      </c>
      <c r="C200" s="1007" t="s">
        <v>2844</v>
      </c>
      <c r="D200" s="1007"/>
      <c r="E200" s="1007"/>
      <c r="F200" s="1007"/>
      <c r="G200" s="1007"/>
      <c r="J200" s="1102" t="s">
        <v>2471</v>
      </c>
      <c r="K200" s="2229"/>
      <c r="L200" s="569"/>
      <c r="M200" s="3330" t="s">
        <v>3887</v>
      </c>
      <c r="N200" s="3331"/>
      <c r="O200" s="3331"/>
      <c r="P200" s="3332"/>
    </row>
    <row r="201" spans="1:25" s="406" customFormat="1" ht="10.5" customHeight="1">
      <c r="B201" s="1102" t="s">
        <v>2472</v>
      </c>
      <c r="C201" s="1007" t="s">
        <v>4051</v>
      </c>
      <c r="D201" s="1007"/>
      <c r="E201" s="1007"/>
      <c r="F201" s="1007"/>
      <c r="J201" s="1102" t="s">
        <v>2472</v>
      </c>
      <c r="K201" s="2229"/>
      <c r="L201" s="569"/>
    </row>
    <row r="202" spans="1:25" s="406" customFormat="1" ht="10.5" customHeight="1">
      <c r="B202" s="402"/>
      <c r="C202" s="1007"/>
      <c r="D202" s="1096" t="s">
        <v>4052</v>
      </c>
      <c r="E202" s="1007"/>
      <c r="F202" s="2231"/>
      <c r="G202" s="1345"/>
      <c r="I202" s="1096" t="s">
        <v>4053</v>
      </c>
      <c r="K202" s="2232"/>
      <c r="L202" s="1344"/>
    </row>
    <row r="203" spans="1:25" s="406" customFormat="1" ht="10.5" customHeight="1">
      <c r="B203" s="1102" t="s">
        <v>2473</v>
      </c>
      <c r="C203" s="1007" t="s">
        <v>3808</v>
      </c>
      <c r="D203" s="1007"/>
      <c r="E203" s="1007"/>
      <c r="F203" s="1007"/>
      <c r="J203" s="1102" t="s">
        <v>2473</v>
      </c>
      <c r="K203" s="2228"/>
      <c r="L203" s="1343"/>
    </row>
    <row r="204" spans="1:25" ht="3" customHeight="1">
      <c r="A204" s="532"/>
      <c r="B204" s="495"/>
      <c r="D204" s="614"/>
      <c r="E204" s="495"/>
      <c r="G204" s="623"/>
      <c r="H204" s="624"/>
      <c r="I204" s="448"/>
      <c r="K204" s="910"/>
      <c r="N204" s="28"/>
      <c r="O204" s="28"/>
      <c r="P204" s="28"/>
    </row>
    <row r="205" spans="1:25" ht="11.25" customHeight="1">
      <c r="B205" s="1609" t="s">
        <v>4185</v>
      </c>
      <c r="E205" s="34"/>
      <c r="G205" s="3568"/>
      <c r="H205" s="3569"/>
      <c r="I205" s="3569"/>
      <c r="J205" s="3569"/>
      <c r="K205" s="3569"/>
      <c r="L205" s="3569"/>
      <c r="M205" s="3569"/>
      <c r="N205" s="3569"/>
      <c r="O205" s="3569"/>
      <c r="P205" s="3570"/>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3315" t="s">
        <v>3807</v>
      </c>
      <c r="D208" s="3315"/>
      <c r="E208" s="3315"/>
      <c r="F208" s="3315"/>
      <c r="G208" s="3315"/>
      <c r="H208" s="3315"/>
      <c r="I208" s="3315"/>
      <c r="J208" s="3315"/>
      <c r="K208" s="3315"/>
      <c r="L208" s="391" t="str">
        <f>IF(OR($O208=$M208,$O208=0,$O208=""),"","* * Check Score! * *")</f>
        <v/>
      </c>
      <c r="M208" s="1242">
        <v>3</v>
      </c>
      <c r="N208" s="499" t="s">
        <v>2002</v>
      </c>
      <c r="O208" s="2200"/>
      <c r="P208" s="913"/>
      <c r="Q208" s="1090" t="str">
        <f>IF(OR($O208=$M208,$O208=0,$O208=""),"","*CHECK!*")</f>
        <v/>
      </c>
      <c r="R208" s="1086" t="s">
        <v>2724</v>
      </c>
    </row>
    <row r="209" spans="1:23" ht="21.75" customHeight="1">
      <c r="A209" s="532"/>
      <c r="B209" s="621" t="s">
        <v>2004</v>
      </c>
      <c r="C209" s="3595" t="s">
        <v>4059</v>
      </c>
      <c r="D209" s="3595"/>
      <c r="E209" s="3595"/>
      <c r="F209" s="3595"/>
      <c r="G209" s="3595"/>
      <c r="H209" s="3595"/>
      <c r="I209" s="3595"/>
      <c r="J209" s="3595"/>
      <c r="K209" s="3595"/>
      <c r="L209" s="391" t="str">
        <f>IF(OR($O209=$M209,$O209=0,$O209=""),"","* * Check Score! * *")</f>
        <v/>
      </c>
      <c r="M209" s="1242">
        <v>2</v>
      </c>
      <c r="N209" s="499" t="s">
        <v>2004</v>
      </c>
      <c r="O209" s="2195"/>
      <c r="P209" s="1218"/>
      <c r="Q209" s="1090" t="str">
        <f>IF(OR($O209=$M209,$O209=0,$O209=""),"","*CHECK!*")</f>
        <v/>
      </c>
      <c r="R209" s="1086" t="s">
        <v>2724</v>
      </c>
    </row>
    <row r="210" spans="1:23" ht="10.5" customHeight="1">
      <c r="A210" s="532"/>
      <c r="B210" s="495"/>
      <c r="C210" s="495" t="s">
        <v>3806</v>
      </c>
      <c r="D210" s="164"/>
      <c r="E210" s="453" t="str">
        <f>'Part I-Project Information'!$N$39</f>
        <v>Yes</v>
      </c>
      <c r="G210" s="495" t="s">
        <v>3600</v>
      </c>
      <c r="I210" s="3523" t="str">
        <f>'Part I-Project Information'!$O$38</f>
        <v>84.00</v>
      </c>
      <c r="J210" s="3523"/>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201"/>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551"/>
      <c r="K214" s="3552"/>
      <c r="L214" s="3553"/>
      <c r="V214" s="1169"/>
      <c r="W214" s="1169"/>
    </row>
    <row r="215" spans="1:23" s="44" customFormat="1" ht="10.5" customHeight="1">
      <c r="A215" s="182"/>
      <c r="B215" s="495" t="s">
        <v>3889</v>
      </c>
      <c r="I215" s="960" t="str">
        <f>IF($J$215="Government", "Additional documentation required - see QAP.","")</f>
        <v/>
      </c>
      <c r="J215" s="3554" t="s">
        <v>2847</v>
      </c>
      <c r="K215" s="3555"/>
      <c r="L215" s="3556"/>
      <c r="M215" s="1106" t="s">
        <v>3650</v>
      </c>
      <c r="N215" s="1107"/>
      <c r="O215" s="1107"/>
      <c r="P215" s="1108"/>
      <c r="V215" s="1169"/>
      <c r="W215" s="1169"/>
    </row>
    <row r="216" spans="1:23" ht="10.5" customHeight="1">
      <c r="A216" s="183"/>
      <c r="B216" s="495" t="s">
        <v>4244</v>
      </c>
      <c r="F216" s="1258"/>
      <c r="G216" s="1258"/>
      <c r="H216" s="1258"/>
      <c r="L216" s="2207"/>
      <c r="M216" s="3533"/>
      <c r="N216" s="3534"/>
      <c r="O216" s="3534"/>
      <c r="P216" s="3535"/>
      <c r="V216" s="1169"/>
      <c r="W216" s="1169"/>
    </row>
    <row r="217" spans="1:23" ht="10.5" customHeight="1">
      <c r="A217" s="183"/>
      <c r="B217" s="405" t="s">
        <v>3817</v>
      </c>
      <c r="G217" s="405"/>
      <c r="J217" s="2233"/>
      <c r="K217" s="1317" t="s">
        <v>3816</v>
      </c>
      <c r="L217" s="1258"/>
      <c r="V217" s="1169"/>
      <c r="W217" s="1169"/>
    </row>
    <row r="218" spans="1:23" ht="21.75" customHeight="1">
      <c r="A218" s="3602" t="s">
        <v>4225</v>
      </c>
      <c r="B218" s="3600" t="s">
        <v>4222</v>
      </c>
      <c r="C218" s="3601"/>
      <c r="D218" s="2642"/>
      <c r="E218" s="2643"/>
      <c r="F218" s="2643"/>
      <c r="G218" s="2643"/>
      <c r="H218" s="2643"/>
      <c r="I218" s="2643"/>
      <c r="J218" s="2643"/>
      <c r="K218" s="2643"/>
      <c r="L218" s="2643"/>
      <c r="M218" s="2643"/>
      <c r="N218" s="2643"/>
      <c r="O218" s="2643"/>
      <c r="P218" s="2644"/>
      <c r="Q218" s="461"/>
      <c r="V218" s="1169"/>
      <c r="W218" s="1169"/>
    </row>
    <row r="219" spans="1:23" ht="34.5" customHeight="1">
      <c r="A219" s="3603"/>
      <c r="B219" s="3467" t="s">
        <v>4223</v>
      </c>
      <c r="C219" s="3468"/>
      <c r="D219" s="2646"/>
      <c r="E219" s="2647"/>
      <c r="F219" s="2647"/>
      <c r="G219" s="2647"/>
      <c r="H219" s="2647"/>
      <c r="I219" s="2647"/>
      <c r="J219" s="2647"/>
      <c r="K219" s="2647"/>
      <c r="L219" s="2647"/>
      <c r="M219" s="2647"/>
      <c r="N219" s="2647"/>
      <c r="O219" s="2647"/>
      <c r="P219" s="2648"/>
      <c r="Q219" s="461"/>
      <c r="V219" s="1169"/>
      <c r="W219" s="1169"/>
    </row>
    <row r="220" spans="1:23" ht="34.5" customHeight="1">
      <c r="A220" s="3604"/>
      <c r="B220" s="3598" t="s">
        <v>4224</v>
      </c>
      <c r="C220" s="3599"/>
      <c r="D220" s="2659"/>
      <c r="E220" s="2660"/>
      <c r="F220" s="2660"/>
      <c r="G220" s="2660"/>
      <c r="H220" s="2660"/>
      <c r="I220" s="2660"/>
      <c r="J220" s="2660"/>
      <c r="K220" s="2660"/>
      <c r="L220" s="2660"/>
      <c r="M220" s="2660"/>
      <c r="N220" s="2660"/>
      <c r="O220" s="2660"/>
      <c r="P220" s="2661"/>
      <c r="Q220" s="461"/>
      <c r="V220" s="1169"/>
      <c r="W220" s="1169"/>
    </row>
    <row r="221" spans="1:23" ht="10.5" customHeight="1">
      <c r="B221" s="37" t="s">
        <v>3477</v>
      </c>
      <c r="G221" s="3455" t="s">
        <v>2646</v>
      </c>
      <c r="H221" s="3455"/>
      <c r="J221" s="3453"/>
      <c r="K221" s="3454"/>
      <c r="L221" s="3596"/>
      <c r="M221" s="3597"/>
      <c r="V221" s="1169"/>
      <c r="W221" s="1169"/>
    </row>
    <row r="222" spans="1:23" s="44" customFormat="1" ht="10.5" customHeight="1">
      <c r="A222" s="43"/>
      <c r="C222" s="37" t="s">
        <v>3478</v>
      </c>
      <c r="D222" s="1592"/>
      <c r="G222" s="3591">
        <f>'Part IV-A-Uses of Funds'!$G$132</f>
        <v>15349522</v>
      </c>
      <c r="H222" s="3592"/>
      <c r="J222" s="3519">
        <f>IF($J221=0,0,$J221/$G$222)</f>
        <v>0</v>
      </c>
      <c r="K222" s="3520"/>
      <c r="L222" s="3519">
        <f>IF($L221=0,0,$L221/$G$222)</f>
        <v>0</v>
      </c>
      <c r="M222" s="3520"/>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75" customHeight="1" thickTop="1" thickBot="1">
      <c r="A224" s="3461"/>
      <c r="B224" s="3462"/>
      <c r="C224" s="3462"/>
      <c r="D224" s="3462"/>
      <c r="E224" s="3462"/>
      <c r="F224" s="3462"/>
      <c r="G224" s="3462"/>
      <c r="H224" s="3462"/>
      <c r="I224" s="3462"/>
      <c r="J224" s="3462"/>
      <c r="K224" s="3462"/>
      <c r="L224" s="3462"/>
      <c r="M224" s="3462"/>
      <c r="N224" s="3462"/>
      <c r="O224" s="3462"/>
      <c r="P224" s="346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3165"/>
      <c r="B226" s="3166"/>
      <c r="C226" s="3166"/>
      <c r="D226" s="3166"/>
      <c r="E226" s="3166"/>
      <c r="F226" s="3166"/>
      <c r="G226" s="3166"/>
      <c r="H226" s="3166"/>
      <c r="I226" s="3166"/>
      <c r="J226" s="3166"/>
      <c r="K226" s="3166"/>
      <c r="L226" s="3166"/>
      <c r="M226" s="3166"/>
      <c r="N226" s="3166"/>
      <c r="O226" s="3166"/>
      <c r="P226" s="3167"/>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4058</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193"/>
      <c r="P229" s="1005"/>
      <c r="R229" s="391"/>
    </row>
    <row r="230" spans="1:23" s="44" customFormat="1" ht="11.25" customHeight="1">
      <c r="A230" s="143"/>
      <c r="D230" s="56" t="s">
        <v>4063</v>
      </c>
      <c r="K230" s="1293">
        <f>$O$111</f>
        <v>3</v>
      </c>
      <c r="L230" s="1294">
        <f>$P$111</f>
        <v>0</v>
      </c>
      <c r="N230" s="484" t="s">
        <v>2452</v>
      </c>
      <c r="O230" s="2196"/>
      <c r="P230" s="562"/>
      <c r="R230" s="1169"/>
      <c r="S230" s="1169"/>
    </row>
    <row r="231" spans="1:23" s="44" customFormat="1" ht="11.25" customHeight="1">
      <c r="A231" s="143"/>
      <c r="D231" s="56" t="s">
        <v>4064</v>
      </c>
      <c r="N231" s="484" t="s">
        <v>2453</v>
      </c>
      <c r="O231" s="2192"/>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20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4068</v>
      </c>
      <c r="D235" s="34"/>
      <c r="G235" s="495" t="s">
        <v>3812</v>
      </c>
      <c r="N235" s="28"/>
      <c r="O235" s="28"/>
      <c r="P235" s="28"/>
      <c r="Q235" s="1099"/>
    </row>
    <row r="236" spans="1:23" s="34" customFormat="1" ht="10.5" customHeight="1">
      <c r="A236" s="532"/>
      <c r="B236" s="139" t="s">
        <v>3893</v>
      </c>
      <c r="D236" s="3464"/>
      <c r="E236" s="3384"/>
      <c r="F236" s="3384"/>
      <c r="G236" s="3465"/>
      <c r="H236" s="3466"/>
      <c r="I236" s="1595" t="s">
        <v>2722</v>
      </c>
      <c r="J236" s="3464"/>
      <c r="K236" s="3384"/>
      <c r="L236" s="3384"/>
      <c r="M236" s="3384"/>
      <c r="N236" s="3466"/>
      <c r="O236" s="605"/>
      <c r="P236" s="605"/>
      <c r="Q236" s="1099"/>
    </row>
    <row r="237" spans="1:23" s="34" customFormat="1" ht="10.5" customHeight="1">
      <c r="A237" s="532"/>
      <c r="B237" s="139" t="s">
        <v>2210</v>
      </c>
      <c r="D237" s="3456"/>
      <c r="E237" s="3457"/>
      <c r="F237" s="3458"/>
      <c r="G237" s="139" t="s">
        <v>1734</v>
      </c>
      <c r="H237" s="2234"/>
      <c r="I237" s="448" t="s">
        <v>1813</v>
      </c>
      <c r="J237" s="3456"/>
      <c r="K237" s="3457"/>
      <c r="L237" s="3457"/>
      <c r="M237" s="3457"/>
      <c r="N237" s="3458"/>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3391" t="s">
        <v>4078</v>
      </c>
      <c r="D240" s="3391"/>
      <c r="E240" s="3391"/>
      <c r="F240" s="3391"/>
      <c r="G240" s="3391"/>
      <c r="H240" s="3391"/>
      <c r="I240" s="3391"/>
      <c r="J240" s="3391"/>
      <c r="K240" s="3391"/>
      <c r="L240" s="3391"/>
      <c r="N240" s="404" t="s">
        <v>2002</v>
      </c>
      <c r="O240" s="2235"/>
      <c r="P240" s="1262"/>
      <c r="Q240" s="1096"/>
      <c r="R240" s="28"/>
      <c r="S240" s="1177"/>
      <c r="V240" s="1169"/>
      <c r="W240" s="1169"/>
    </row>
    <row r="241" spans="1:23" s="34" customFormat="1" ht="10.5" customHeight="1">
      <c r="A241" s="532"/>
      <c r="B241" s="484" t="s">
        <v>2451</v>
      </c>
      <c r="C241" s="139" t="s">
        <v>4069</v>
      </c>
      <c r="D241" s="3382"/>
      <c r="E241" s="3383"/>
      <c r="F241" s="3383"/>
      <c r="G241" s="3384"/>
      <c r="H241" s="3385"/>
      <c r="I241" s="1595" t="s">
        <v>2722</v>
      </c>
      <c r="J241" s="3382"/>
      <c r="K241" s="3383"/>
      <c r="L241" s="3383"/>
      <c r="M241" s="3383"/>
      <c r="N241" s="3385"/>
      <c r="O241" s="3459" t="s">
        <v>4071</v>
      </c>
      <c r="P241" s="3460"/>
      <c r="Q241" s="1096"/>
      <c r="R241" s="28"/>
      <c r="V241" s="1169"/>
      <c r="W241" s="1169"/>
    </row>
    <row r="242" spans="1:23" s="34" customFormat="1" ht="10.5" customHeight="1">
      <c r="A242" s="532"/>
      <c r="C242" s="1179" t="s">
        <v>2210</v>
      </c>
      <c r="D242" s="3456"/>
      <c r="E242" s="3457"/>
      <c r="F242" s="3458"/>
      <c r="G242" s="1260" t="s">
        <v>1734</v>
      </c>
      <c r="H242" s="2234"/>
      <c r="I242" s="1178" t="s">
        <v>1813</v>
      </c>
      <c r="J242" s="3456"/>
      <c r="K242" s="3457"/>
      <c r="L242" s="3457"/>
      <c r="M242" s="3457"/>
      <c r="N242" s="3458"/>
      <c r="O242" s="2192"/>
      <c r="P242" s="563"/>
      <c r="Q242" s="1096"/>
      <c r="R242" s="28"/>
      <c r="V242" s="1169"/>
      <c r="W242" s="1169"/>
    </row>
    <row r="243" spans="1:23" s="34" customFormat="1" ht="10.5" customHeight="1">
      <c r="A243" s="532"/>
      <c r="B243" s="484" t="s">
        <v>2452</v>
      </c>
      <c r="C243" s="139" t="s">
        <v>4070</v>
      </c>
      <c r="D243" s="3382"/>
      <c r="E243" s="3383"/>
      <c r="F243" s="3383"/>
      <c r="G243" s="3384"/>
      <c r="H243" s="3385"/>
      <c r="I243" s="1595" t="s">
        <v>2722</v>
      </c>
      <c r="J243" s="3382"/>
      <c r="K243" s="3383"/>
      <c r="L243" s="3383"/>
      <c r="M243" s="3383"/>
      <c r="N243" s="3385"/>
      <c r="O243" s="3459" t="s">
        <v>4071</v>
      </c>
      <c r="P243" s="3460"/>
      <c r="Q243" s="1096"/>
      <c r="R243" s="28"/>
      <c r="V243" s="1169"/>
      <c r="W243" s="1169"/>
    </row>
    <row r="244" spans="1:23" s="34" customFormat="1" ht="10.5" customHeight="1">
      <c r="A244" s="532"/>
      <c r="C244" s="1179" t="s">
        <v>2210</v>
      </c>
      <c r="D244" s="3456"/>
      <c r="E244" s="3457"/>
      <c r="F244" s="3458"/>
      <c r="G244" s="1260" t="s">
        <v>1734</v>
      </c>
      <c r="H244" s="2234"/>
      <c r="I244" s="1178" t="s">
        <v>1813</v>
      </c>
      <c r="J244" s="3456"/>
      <c r="K244" s="3457"/>
      <c r="L244" s="3457"/>
      <c r="M244" s="3457"/>
      <c r="N244" s="3458"/>
      <c r="O244" s="2192"/>
      <c r="P244" s="563"/>
      <c r="Q244" s="1096"/>
      <c r="R244" s="28"/>
      <c r="V244" s="1169"/>
      <c r="W244" s="1169"/>
    </row>
    <row r="245" spans="1:23" ht="11.25" customHeight="1">
      <c r="A245" s="532"/>
      <c r="B245" s="621" t="s">
        <v>2004</v>
      </c>
      <c r="C245" s="1101" t="s">
        <v>4072</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3203" t="s">
        <v>4187</v>
      </c>
      <c r="D246" s="3203"/>
      <c r="E246" s="3203"/>
      <c r="F246" s="3203"/>
      <c r="G246" s="3203"/>
      <c r="H246" s="3203"/>
      <c r="I246" s="3203"/>
      <c r="J246" s="3203"/>
      <c r="K246" s="3203"/>
      <c r="L246" s="3203"/>
      <c r="M246" s="3203"/>
      <c r="N246" s="404" t="s">
        <v>2004</v>
      </c>
      <c r="O246" s="2235"/>
      <c r="P246" s="1262"/>
      <c r="Q246" s="1100"/>
      <c r="V246" s="1169"/>
      <c r="W246" s="1169"/>
    </row>
    <row r="247" spans="1:23" ht="11.25" customHeight="1">
      <c r="A247" s="532"/>
      <c r="B247" s="484" t="s">
        <v>2451</v>
      </c>
      <c r="C247" s="1105" t="s">
        <v>4188</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3378"/>
      <c r="D248" s="3379"/>
      <c r="E248" s="3379"/>
      <c r="F248" s="3379"/>
      <c r="G248" s="3379"/>
      <c r="H248" s="3379"/>
      <c r="I248" s="3379"/>
      <c r="J248" s="3379"/>
      <c r="K248" s="3379"/>
      <c r="L248" s="3379"/>
      <c r="M248" s="3379"/>
      <c r="N248" s="3379"/>
      <c r="O248" s="3379"/>
      <c r="P248" s="3380"/>
      <c r="Q248" s="1174"/>
      <c r="V248" s="1169"/>
      <c r="W248" s="1169"/>
    </row>
    <row r="249" spans="1:23" ht="10.5" customHeight="1">
      <c r="A249" s="532"/>
      <c r="B249" s="1103"/>
      <c r="C249" s="3349"/>
      <c r="D249" s="3350"/>
      <c r="E249" s="3350"/>
      <c r="F249" s="3350"/>
      <c r="G249" s="3350"/>
      <c r="H249" s="3350"/>
      <c r="I249" s="3350"/>
      <c r="J249" s="3350"/>
      <c r="K249" s="3350"/>
      <c r="L249" s="3350"/>
      <c r="M249" s="3350"/>
      <c r="N249" s="3350"/>
      <c r="O249" s="3350"/>
      <c r="P249" s="3351"/>
      <c r="Q249" s="1100"/>
      <c r="V249" s="1169"/>
      <c r="W249" s="1169"/>
    </row>
    <row r="250" spans="1:23" ht="10.5" customHeight="1">
      <c r="A250" s="532"/>
      <c r="B250" s="1103"/>
      <c r="C250" s="3375"/>
      <c r="D250" s="3376"/>
      <c r="E250" s="3376"/>
      <c r="F250" s="3376"/>
      <c r="G250" s="3376"/>
      <c r="H250" s="3376"/>
      <c r="I250" s="3376"/>
      <c r="J250" s="3376"/>
      <c r="K250" s="3376"/>
      <c r="L250" s="3376"/>
      <c r="M250" s="3376"/>
      <c r="N250" s="3376"/>
      <c r="O250" s="3376"/>
      <c r="P250" s="3377"/>
      <c r="Q250" s="1100"/>
      <c r="V250" s="1169"/>
      <c r="W250" s="1169"/>
    </row>
    <row r="251" spans="1:23" ht="11.25" customHeight="1">
      <c r="A251" s="532"/>
      <c r="B251" s="484" t="s">
        <v>2452</v>
      </c>
      <c r="C251" s="1105" t="s">
        <v>4186</v>
      </c>
      <c r="D251" s="1591"/>
      <c r="E251" s="1591"/>
      <c r="F251" s="1591"/>
      <c r="G251" s="1591"/>
      <c r="H251" s="1591"/>
      <c r="I251" s="1591"/>
      <c r="J251" s="1591"/>
      <c r="K251" s="1591"/>
      <c r="L251" s="3392" t="s">
        <v>4190</v>
      </c>
      <c r="M251" s="3392"/>
      <c r="N251" s="3393" t="s">
        <v>4191</v>
      </c>
      <c r="O251" s="3393"/>
      <c r="P251" s="3393"/>
      <c r="Q251" s="1100"/>
      <c r="V251" s="1169"/>
      <c r="W251" s="1169"/>
    </row>
    <row r="252" spans="1:23" ht="10.5" customHeight="1">
      <c r="A252" s="532"/>
      <c r="B252" s="1103"/>
      <c r="C252" s="3378"/>
      <c r="D252" s="3379"/>
      <c r="E252" s="3379"/>
      <c r="F252" s="3379"/>
      <c r="G252" s="3379"/>
      <c r="H252" s="3379"/>
      <c r="I252" s="3379"/>
      <c r="J252" s="3379"/>
      <c r="K252" s="3380"/>
      <c r="L252" s="3378"/>
      <c r="M252" s="3380"/>
      <c r="N252" s="3378"/>
      <c r="O252" s="3379"/>
      <c r="P252" s="3380"/>
      <c r="Q252" s="1174"/>
      <c r="V252" s="1169"/>
      <c r="W252" s="1169"/>
    </row>
    <row r="253" spans="1:23" ht="10.5" customHeight="1">
      <c r="A253" s="532"/>
      <c r="B253" s="1103"/>
      <c r="C253" s="3349"/>
      <c r="D253" s="3350"/>
      <c r="E253" s="3350"/>
      <c r="F253" s="3350"/>
      <c r="G253" s="3350"/>
      <c r="H253" s="3350"/>
      <c r="I253" s="3350"/>
      <c r="J253" s="3350"/>
      <c r="K253" s="3351"/>
      <c r="L253" s="3349"/>
      <c r="M253" s="3351"/>
      <c r="N253" s="3349"/>
      <c r="O253" s="3350"/>
      <c r="P253" s="3351"/>
      <c r="Q253" s="1100"/>
      <c r="V253" s="1169"/>
      <c r="W253" s="1169"/>
    </row>
    <row r="254" spans="1:23" ht="10.5" customHeight="1">
      <c r="A254" s="532"/>
      <c r="B254" s="1103"/>
      <c r="C254" s="3375"/>
      <c r="D254" s="3376"/>
      <c r="E254" s="3376"/>
      <c r="F254" s="3376"/>
      <c r="G254" s="3376"/>
      <c r="H254" s="3376"/>
      <c r="I254" s="3376"/>
      <c r="J254" s="3376"/>
      <c r="K254" s="3377"/>
      <c r="L254" s="3375"/>
      <c r="M254" s="3377"/>
      <c r="N254" s="3375"/>
      <c r="O254" s="3376"/>
      <c r="P254" s="3377"/>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91" t="s">
        <v>4077</v>
      </c>
      <c r="D256" s="3391"/>
      <c r="E256" s="3391"/>
      <c r="F256" s="3391"/>
      <c r="G256" s="3391"/>
      <c r="H256" s="3391"/>
      <c r="I256" s="3391"/>
      <c r="J256" s="3391"/>
      <c r="K256" s="3391"/>
      <c r="L256" s="3391"/>
      <c r="M256" s="3391"/>
      <c r="N256" s="404" t="s">
        <v>2551</v>
      </c>
      <c r="O256" s="2209"/>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3315" t="s">
        <v>4079</v>
      </c>
      <c r="D258" s="3315"/>
      <c r="E258" s="3315"/>
      <c r="F258" s="3315"/>
      <c r="G258" s="3315"/>
      <c r="H258" s="3315"/>
      <c r="I258" s="3315"/>
      <c r="J258" s="3315"/>
      <c r="K258" s="3315"/>
      <c r="L258" s="3315"/>
      <c r="M258" s="3315"/>
      <c r="N258" s="404" t="s">
        <v>1236</v>
      </c>
      <c r="O258" s="2236"/>
      <c r="P258" s="1261"/>
      <c r="Q258" s="1100"/>
      <c r="V258" s="1169"/>
      <c r="W258" s="1169"/>
    </row>
    <row r="259" spans="1:23" s="34" customFormat="1" ht="10.5" customHeight="1">
      <c r="A259" s="532"/>
      <c r="B259" s="401" t="s">
        <v>2451</v>
      </c>
      <c r="C259" s="3391" t="s">
        <v>4080</v>
      </c>
      <c r="D259" s="3391"/>
      <c r="E259" s="3391"/>
      <c r="F259" s="3391"/>
      <c r="G259" s="3391"/>
      <c r="H259" s="3391"/>
      <c r="I259" s="3391"/>
      <c r="J259" s="3391"/>
      <c r="K259" s="3391"/>
      <c r="L259" s="3391"/>
      <c r="M259" s="3391"/>
      <c r="N259" s="401" t="s">
        <v>2451</v>
      </c>
      <c r="O259" s="2196"/>
      <c r="P259" s="562"/>
      <c r="Q259" s="1100"/>
      <c r="V259" s="1169"/>
      <c r="W259" s="1169"/>
    </row>
    <row r="260" spans="1:23" s="34" customFormat="1" ht="10.5" customHeight="1">
      <c r="A260" s="532"/>
      <c r="B260" s="401" t="s">
        <v>2452</v>
      </c>
      <c r="C260" s="3391" t="s">
        <v>4081</v>
      </c>
      <c r="D260" s="3391"/>
      <c r="E260" s="3391"/>
      <c r="F260" s="3391"/>
      <c r="G260" s="3391"/>
      <c r="H260" s="3391"/>
      <c r="I260" s="3391"/>
      <c r="J260" s="3391"/>
      <c r="K260" s="3391"/>
      <c r="L260" s="3391"/>
      <c r="M260" s="3391"/>
      <c r="N260" s="401" t="s">
        <v>2452</v>
      </c>
      <c r="O260" s="2192"/>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4074</v>
      </c>
      <c r="D262" s="34"/>
      <c r="G262" s="495" t="s">
        <v>3812</v>
      </c>
      <c r="N262" s="28"/>
      <c r="O262" s="540" t="s">
        <v>2527</v>
      </c>
      <c r="P262" s="540" t="s">
        <v>2527</v>
      </c>
      <c r="Q262" s="1099"/>
    </row>
    <row r="263" spans="1:23" ht="21.75" customHeight="1">
      <c r="A263" s="532"/>
      <c r="B263" s="621" t="s">
        <v>2002</v>
      </c>
      <c r="C263" s="3203" t="s">
        <v>4075</v>
      </c>
      <c r="D263" s="3203"/>
      <c r="E263" s="3203"/>
      <c r="F263" s="3203"/>
      <c r="G263" s="3203"/>
      <c r="H263" s="3203"/>
      <c r="I263" s="3203"/>
      <c r="J263" s="3203"/>
      <c r="K263" s="3203"/>
      <c r="L263" s="3203"/>
      <c r="M263" s="1232" t="s">
        <v>2001</v>
      </c>
      <c r="N263" s="404" t="s">
        <v>2002</v>
      </c>
      <c r="O263" s="2236"/>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192"/>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3366"/>
      <c r="B266" s="3367"/>
      <c r="C266" s="3367"/>
      <c r="D266" s="3367"/>
      <c r="E266" s="3367"/>
      <c r="F266" s="3367"/>
      <c r="G266" s="3367"/>
      <c r="H266" s="3367"/>
      <c r="I266" s="3367"/>
      <c r="J266" s="3367"/>
      <c r="K266" s="3367"/>
      <c r="L266" s="3367"/>
      <c r="M266" s="3367"/>
      <c r="N266" s="3367"/>
      <c r="O266" s="3367"/>
      <c r="P266" s="3368"/>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3317"/>
      <c r="B268" s="3318"/>
      <c r="C268" s="3318"/>
      <c r="D268" s="3318"/>
      <c r="E268" s="3318"/>
      <c r="F268" s="3318"/>
      <c r="G268" s="3318"/>
      <c r="H268" s="3318"/>
      <c r="I268" s="3318"/>
      <c r="J268" s="3318"/>
      <c r="K268" s="3318"/>
      <c r="L268" s="3318"/>
      <c r="M268" s="3318"/>
      <c r="N268" s="3318"/>
      <c r="O268" s="3318"/>
      <c r="P268" s="3319"/>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52" t="s">
        <v>3626</v>
      </c>
      <c r="B272" s="921" t="s">
        <v>3624</v>
      </c>
      <c r="C272" s="95"/>
      <c r="D272" s="60"/>
      <c r="E272" s="60"/>
      <c r="H272" s="179"/>
      <c r="M272" s="1235">
        <v>3</v>
      </c>
      <c r="N272" s="3388"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52"/>
      <c r="B273" s="113" t="s">
        <v>2812</v>
      </c>
      <c r="C273" s="536"/>
      <c r="D273" s="536"/>
      <c r="H273" s="537" t="str">
        <f>'Part I-Project Information'!$H$100</f>
        <v>Flexible</v>
      </c>
      <c r="N273" s="3388"/>
      <c r="O273" s="1297" t="s">
        <v>2527</v>
      </c>
      <c r="P273" s="1297" t="s">
        <v>2527</v>
      </c>
    </row>
    <row r="274" spans="1:21" ht="11.45" customHeight="1">
      <c r="A274" s="3452"/>
      <c r="B274" s="942" t="s">
        <v>2002</v>
      </c>
      <c r="C274" s="454" t="s">
        <v>2702</v>
      </c>
      <c r="E274" s="120"/>
      <c r="M274" s="83"/>
      <c r="N274" s="3388"/>
      <c r="O274" s="2209"/>
      <c r="P274" s="560"/>
      <c r="Q274" s="3381" t="str">
        <f>IF(AND(O274="Yes",O277="Yes"),"Only 1 or 4 can be 'Yes'!","")</f>
        <v/>
      </c>
      <c r="R274" s="3381"/>
    </row>
    <row r="275" spans="1:21" ht="11.45" customHeight="1">
      <c r="B275" s="942" t="s">
        <v>2004</v>
      </c>
      <c r="C275" s="454" t="s">
        <v>2757</v>
      </c>
      <c r="G275" s="103" t="s">
        <v>2405</v>
      </c>
      <c r="H275" s="2237" t="s">
        <v>3805</v>
      </c>
      <c r="I275" s="454" t="s">
        <v>2758</v>
      </c>
      <c r="L275" s="139" t="s">
        <v>2756</v>
      </c>
      <c r="M275" s="944" t="str">
        <f>IF(O275&gt;H275,"CHECK ACTUAL PERCENT!!!","")</f>
        <v/>
      </c>
      <c r="N275" s="181" t="s">
        <v>2004</v>
      </c>
      <c r="O275" s="2238"/>
      <c r="P275" s="1287"/>
      <c r="Q275" s="3381"/>
      <c r="R275" s="3381"/>
    </row>
    <row r="276" spans="1:21" ht="11.45" customHeight="1">
      <c r="B276" s="942" t="s">
        <v>2551</v>
      </c>
      <c r="C276" s="430" t="s">
        <v>2406</v>
      </c>
      <c r="E276" s="120"/>
      <c r="G276" s="103" t="s">
        <v>2407</v>
      </c>
      <c r="L276" s="448" t="s">
        <v>2750</v>
      </c>
      <c r="M276" s="34"/>
      <c r="N276" s="181" t="s">
        <v>2551</v>
      </c>
      <c r="O276" s="2239" t="s">
        <v>203</v>
      </c>
      <c r="P276" s="1357" t="s">
        <v>203</v>
      </c>
      <c r="Q276" s="3381"/>
      <c r="R276" s="3381"/>
    </row>
    <row r="277" spans="1:21" s="406" customFormat="1" ht="11.45" customHeight="1">
      <c r="B277" s="621" t="s">
        <v>1236</v>
      </c>
      <c r="C277" s="3203" t="s">
        <v>4083</v>
      </c>
      <c r="D277" s="3203"/>
      <c r="E277" s="3203"/>
      <c r="F277" s="3203"/>
      <c r="G277" s="3203"/>
      <c r="H277" s="3203"/>
      <c r="I277" s="3203"/>
      <c r="J277" s="3386" t="s">
        <v>4084</v>
      </c>
      <c r="K277" s="3386" t="s">
        <v>4082</v>
      </c>
      <c r="M277" s="1236">
        <v>2</v>
      </c>
      <c r="N277" s="181" t="s">
        <v>1236</v>
      </c>
      <c r="O277" s="2235"/>
      <c r="P277" s="1262"/>
      <c r="Q277" s="3381"/>
      <c r="R277" s="3381"/>
    </row>
    <row r="278" spans="1:21" ht="11.45" customHeight="1">
      <c r="B278" s="389"/>
      <c r="C278" s="3203"/>
      <c r="D278" s="3203"/>
      <c r="E278" s="3203"/>
      <c r="F278" s="3203"/>
      <c r="G278" s="3203"/>
      <c r="H278" s="3203"/>
      <c r="I278" s="3203"/>
      <c r="J278" s="3387"/>
      <c r="K278" s="3387"/>
      <c r="L278" s="3389" t="s">
        <v>4147</v>
      </c>
      <c r="M278" s="3390"/>
      <c r="N278" s="120"/>
    </row>
    <row r="279" spans="1:21" ht="11.45" customHeight="1">
      <c r="B279" s="389"/>
      <c r="C279" s="3203"/>
      <c r="D279" s="3203"/>
      <c r="E279" s="3203"/>
      <c r="F279" s="3203"/>
      <c r="G279" s="3203"/>
      <c r="H279" s="3203"/>
      <c r="I279" s="3203"/>
      <c r="J279" s="2240"/>
      <c r="K279" s="2241"/>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2242" t="s">
        <v>203</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123</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3317"/>
      <c r="B284" s="3318"/>
      <c r="C284" s="3318"/>
      <c r="D284" s="3318"/>
      <c r="E284" s="3318"/>
      <c r="F284" s="3318"/>
      <c r="G284" s="3318"/>
      <c r="H284" s="3318"/>
      <c r="I284" s="3318"/>
      <c r="J284" s="3318"/>
      <c r="K284" s="3318"/>
      <c r="L284" s="3318"/>
      <c r="M284" s="3318"/>
      <c r="N284" s="3318"/>
      <c r="O284" s="3318"/>
      <c r="P284" s="3319"/>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3525" t="str">
        <f>IF(OR(SUM(T287:T288)&gt;1,SUM(U287:U288)&gt;1),"Only one category can be met by other means!","")</f>
        <v/>
      </c>
      <c r="N287" s="484" t="s">
        <v>1999</v>
      </c>
      <c r="O287" s="2193"/>
      <c r="P287" s="561"/>
      <c r="U287" s="1355">
        <f>IF(L287="Yes",1,0)</f>
        <v>0</v>
      </c>
    </row>
    <row r="288" spans="1:21" ht="11.25" customHeight="1">
      <c r="A288" s="1585" t="s">
        <v>2001</v>
      </c>
      <c r="B288" s="1238" t="s">
        <v>3820</v>
      </c>
      <c r="D288" s="655"/>
      <c r="L288" s="1105"/>
      <c r="M288" s="3525"/>
      <c r="N288" s="484" t="s">
        <v>2001</v>
      </c>
      <c r="O288" s="2192"/>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3461"/>
      <c r="B290" s="3462"/>
      <c r="C290" s="3462"/>
      <c r="D290" s="3462"/>
      <c r="E290" s="3462"/>
      <c r="F290" s="3462"/>
      <c r="G290" s="3462"/>
      <c r="H290" s="3462"/>
      <c r="I290" s="3462"/>
      <c r="J290" s="3462"/>
      <c r="K290" s="3462"/>
      <c r="L290" s="3462"/>
      <c r="M290" s="3462"/>
      <c r="N290" s="3462"/>
      <c r="O290" s="3462"/>
      <c r="P290" s="346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3317"/>
      <c r="B292" s="3318"/>
      <c r="C292" s="3318"/>
      <c r="D292" s="3318"/>
      <c r="E292" s="3318"/>
      <c r="F292" s="3318"/>
      <c r="G292" s="3318"/>
      <c r="H292" s="3318"/>
      <c r="I292" s="3318"/>
      <c r="J292" s="3318"/>
      <c r="K292" s="3318"/>
      <c r="L292" s="3318"/>
      <c r="M292" s="3318"/>
      <c r="N292" s="3318"/>
      <c r="O292" s="3318"/>
      <c r="P292" s="3319"/>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4087</v>
      </c>
      <c r="D295" s="34"/>
      <c r="E295" s="34"/>
      <c r="F295" s="34"/>
      <c r="H295" s="89" t="s">
        <v>3709</v>
      </c>
      <c r="I295" s="446"/>
      <c r="J295" s="3590" t="str">
        <f>'Part I-Project Information'!$O$34</f>
        <v>No</v>
      </c>
      <c r="K295" s="3590"/>
      <c r="L295" s="995">
        <f>'Part I-Project Information'!$O$35</f>
        <v>0</v>
      </c>
      <c r="M295" s="75">
        <v>3</v>
      </c>
      <c r="N295" s="484" t="s">
        <v>1999</v>
      </c>
      <c r="O295" s="2201"/>
      <c r="P295" s="912"/>
      <c r="Q295" s="1090" t="str">
        <f>IF(OR($O295=$M295,$O295=0,$O295=""),"","*CHECK!*")</f>
        <v/>
      </c>
      <c r="R295" s="1192" t="s">
        <v>2724</v>
      </c>
    </row>
    <row r="296" spans="1:27" s="103" customFormat="1" ht="21.75" customHeight="1">
      <c r="B296" s="621" t="s">
        <v>2002</v>
      </c>
      <c r="C296" s="3315" t="s">
        <v>4245</v>
      </c>
      <c r="D296" s="3315"/>
      <c r="E296" s="3315"/>
      <c r="F296" s="3315"/>
      <c r="G296" s="3315"/>
      <c r="H296" s="3315"/>
      <c r="I296" s="3315"/>
      <c r="J296" s="3315"/>
      <c r="K296" s="3315"/>
      <c r="L296" s="3315"/>
      <c r="M296" s="3315"/>
      <c r="N296" s="404" t="s">
        <v>2002</v>
      </c>
      <c r="O296" s="2243"/>
      <c r="P296" s="1241"/>
      <c r="Q296" s="3526" t="s">
        <v>4246</v>
      </c>
      <c r="R296" s="3315"/>
      <c r="S296" s="3315"/>
      <c r="T296" s="3315"/>
      <c r="U296" s="3315"/>
      <c r="V296" s="3315"/>
      <c r="W296" s="3315"/>
      <c r="X296" s="3315"/>
      <c r="Y296" s="3315"/>
      <c r="Z296" s="3315"/>
      <c r="AA296" s="1098"/>
    </row>
    <row r="297" spans="1:27" s="121" customFormat="1" ht="10.5" customHeight="1">
      <c r="B297" s="942"/>
      <c r="C297" s="139" t="s">
        <v>3834</v>
      </c>
      <c r="H297" s="448" t="s">
        <v>2600</v>
      </c>
      <c r="I297" s="2244"/>
      <c r="J297" s="448" t="s">
        <v>2317</v>
      </c>
      <c r="K297" s="3497"/>
      <c r="L297" s="3498"/>
      <c r="M297" s="3498"/>
      <c r="N297" s="3498"/>
      <c r="O297" s="3498"/>
      <c r="P297" s="3499"/>
    </row>
    <row r="298" spans="1:27" s="121" customFormat="1" ht="10.5" customHeight="1">
      <c r="B298" s="942"/>
      <c r="C298" s="139" t="s">
        <v>3890</v>
      </c>
      <c r="H298" s="448" t="s">
        <v>2600</v>
      </c>
      <c r="I298" s="2245"/>
      <c r="J298" s="448" t="s">
        <v>2317</v>
      </c>
      <c r="K298" s="3494"/>
      <c r="L298" s="3495"/>
      <c r="M298" s="3495"/>
      <c r="N298" s="3495"/>
      <c r="O298" s="3495"/>
      <c r="P298" s="3496"/>
    </row>
    <row r="299" spans="1:27" s="121" customFormat="1" ht="10.5" customHeight="1">
      <c r="B299" s="942" t="s">
        <v>2004</v>
      </c>
      <c r="C299" s="121" t="s">
        <v>972</v>
      </c>
      <c r="M299" s="7"/>
      <c r="N299" s="181" t="s">
        <v>2004</v>
      </c>
      <c r="O299" s="2208"/>
      <c r="P299" s="1005"/>
    </row>
    <row r="300" spans="1:27" s="121" customFormat="1" ht="10.5" customHeight="1">
      <c r="B300" s="942" t="s">
        <v>2551</v>
      </c>
      <c r="C300" s="121" t="s">
        <v>973</v>
      </c>
      <c r="M300" s="7"/>
      <c r="N300" s="181" t="s">
        <v>2551</v>
      </c>
      <c r="O300" s="2196"/>
      <c r="P300" s="562"/>
    </row>
    <row r="301" spans="1:27" s="121" customFormat="1" ht="10.5" customHeight="1">
      <c r="A301" s="532"/>
      <c r="B301" s="942" t="s">
        <v>1236</v>
      </c>
      <c r="C301" s="121" t="s">
        <v>974</v>
      </c>
      <c r="M301" s="7"/>
      <c r="N301" s="181" t="s">
        <v>1236</v>
      </c>
      <c r="O301" s="2192"/>
      <c r="P301" s="563"/>
    </row>
    <row r="302" spans="1:27" s="34" customFormat="1" ht="10.5" customHeight="1">
      <c r="A302" s="1585" t="s">
        <v>2001</v>
      </c>
      <c r="B302" s="184" t="s">
        <v>4088</v>
      </c>
      <c r="D302" s="620"/>
      <c r="H302" s="62" t="s">
        <v>3414</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202">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203"/>
      <c r="P305" s="557"/>
      <c r="Q305" s="1090" t="str">
        <f>IF(OR($O305=$M305,$O305=0,$O305=""),"","*CHECK!*")</f>
        <v/>
      </c>
      <c r="R305" s="1192" t="s">
        <v>2724</v>
      </c>
    </row>
    <row r="306" spans="1:21" s="34" customFormat="1" ht="10.5" customHeight="1">
      <c r="A306" s="1585" t="s">
        <v>757</v>
      </c>
      <c r="B306" s="184" t="s">
        <v>4089</v>
      </c>
      <c r="D306" s="620"/>
      <c r="H306" s="62" t="s">
        <v>4092</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3372" t="str">
        <f>IF(OR(AND(O308&gt;0,O310&gt;0), AND(O309&gt;0,O310&gt;0), AND(O308&gt;0,O309&gt;0)),"Choose option 1 or 2 or 3!!!","")</f>
        <v/>
      </c>
      <c r="L308" s="3372"/>
      <c r="M308" s="75">
        <v>4</v>
      </c>
      <c r="N308" s="450" t="s">
        <v>2002</v>
      </c>
      <c r="O308" s="2202"/>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3372"/>
      <c r="L309" s="3372"/>
      <c r="M309" s="83">
        <v>3</v>
      </c>
      <c r="N309" s="948" t="s">
        <v>2004</v>
      </c>
      <c r="O309" s="2246"/>
      <c r="P309" s="556"/>
      <c r="Q309" s="1090" t="str">
        <f>IF(OR($O309=$M309,$O309=0,$O309=""),"","*CHECK!*")</f>
        <v/>
      </c>
      <c r="R309" s="1192" t="s">
        <v>2724</v>
      </c>
    </row>
    <row r="310" spans="1:21" ht="10.5" customHeight="1">
      <c r="A310" s="619" t="s">
        <v>1365</v>
      </c>
      <c r="B310" s="621" t="s">
        <v>2551</v>
      </c>
      <c r="C310" s="455" t="s">
        <v>3637</v>
      </c>
      <c r="D310" s="34"/>
      <c r="E310" s="34"/>
      <c r="F310" s="34"/>
      <c r="G310" s="41"/>
      <c r="H310" s="62"/>
      <c r="I310" s="41"/>
      <c r="K310" s="3372"/>
      <c r="L310" s="3372"/>
      <c r="M310" s="83">
        <v>2</v>
      </c>
      <c r="N310" s="948" t="s">
        <v>2551</v>
      </c>
      <c r="O310" s="2203"/>
      <c r="P310" s="557"/>
      <c r="Q310" s="1090" t="str">
        <f>IF(OR($O310=$M310,$O310=0,$O310=""),"","*CHECK!*")</f>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3461" t="s">
        <v>4714</v>
      </c>
      <c r="B312" s="3462"/>
      <c r="C312" s="3462"/>
      <c r="D312" s="3462"/>
      <c r="E312" s="3462"/>
      <c r="F312" s="3462"/>
      <c r="G312" s="3462"/>
      <c r="H312" s="3462"/>
      <c r="I312" s="3462"/>
      <c r="J312" s="3462"/>
      <c r="K312" s="3462"/>
      <c r="L312" s="3462"/>
      <c r="M312" s="3462"/>
      <c r="N312" s="3462"/>
      <c r="O312" s="3462"/>
      <c r="P312" s="346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3165"/>
      <c r="B314" s="3166"/>
      <c r="C314" s="3166"/>
      <c r="D314" s="3166"/>
      <c r="E314" s="3166"/>
      <c r="F314" s="3166"/>
      <c r="G314" s="3166"/>
      <c r="H314" s="3166"/>
      <c r="I314" s="3166"/>
      <c r="J314" s="3166"/>
      <c r="K314" s="3166"/>
      <c r="L314" s="3166"/>
      <c r="M314" s="3166"/>
      <c r="N314" s="3166"/>
      <c r="O314" s="3166"/>
      <c r="P314" s="3167"/>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24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192"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202"/>
      <c r="P319" s="555"/>
      <c r="Q319" s="1090" t="str">
        <f>IF(OR($O319=$M319,$O319=0,$O319=""),"","*CHECK!*")</f>
        <v/>
      </c>
      <c r="R319" s="1192" t="s">
        <v>2724</v>
      </c>
      <c r="T319" s="1169"/>
      <c r="U319" s="1169"/>
    </row>
    <row r="320" spans="1:21" s="44" customFormat="1" ht="10.5" customHeight="1">
      <c r="A320" s="143"/>
      <c r="B320" s="956" t="s">
        <v>4093</v>
      </c>
      <c r="D320" s="58"/>
      <c r="H320" s="1593"/>
      <c r="K320" s="53"/>
      <c r="L320" s="105"/>
      <c r="M320" s="7"/>
      <c r="N320" s="484"/>
      <c r="O320" s="2192"/>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3165"/>
      <c r="B322" s="3166"/>
      <c r="C322" s="3166"/>
      <c r="D322" s="3166"/>
      <c r="E322" s="3166"/>
      <c r="F322" s="3166"/>
      <c r="G322" s="3166"/>
      <c r="H322" s="3166"/>
      <c r="I322" s="3166"/>
      <c r="J322" s="3166"/>
      <c r="K322" s="3166"/>
      <c r="L322" s="3166"/>
      <c r="M322" s="3166"/>
      <c r="N322" s="3166"/>
      <c r="O322" s="3166"/>
      <c r="P322" s="3167"/>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4094</v>
      </c>
      <c r="C324" s="90"/>
      <c r="D324" s="59"/>
      <c r="E324" s="53"/>
      <c r="G324" s="56"/>
      <c r="M324" s="1584">
        <v>2</v>
      </c>
      <c r="N324" s="6"/>
      <c r="O324" s="6"/>
      <c r="P324" s="1247">
        <f>P325+P330</f>
        <v>0</v>
      </c>
      <c r="Q324" s="112" t="s">
        <v>443</v>
      </c>
    </row>
    <row r="325" spans="1:18" s="44" customFormat="1" ht="12" customHeight="1">
      <c r="A325" s="143" t="s">
        <v>2001</v>
      </c>
      <c r="B325" s="172" t="s">
        <v>4095</v>
      </c>
      <c r="C325" s="90"/>
      <c r="D325" s="59"/>
      <c r="E325" s="53"/>
      <c r="G325" s="508">
        <f>'Part VIII-Threshold Criteria'!I357</f>
        <v>0</v>
      </c>
      <c r="J325" s="41" t="s">
        <v>2703</v>
      </c>
      <c r="L325" s="37"/>
      <c r="O325" s="483">
        <f>'Part I-Project Information'!$H$96</f>
        <v>0</v>
      </c>
      <c r="P325" s="558"/>
      <c r="Q325" s="112"/>
    </row>
    <row r="326" spans="1:18" s="105" customFormat="1" ht="10.5" customHeight="1">
      <c r="A326" s="143"/>
      <c r="B326" s="389" t="s">
        <v>2002</v>
      </c>
      <c r="C326" s="37" t="s">
        <v>3483</v>
      </c>
      <c r="D326" s="34"/>
      <c r="N326" s="450" t="s">
        <v>2002</v>
      </c>
      <c r="O326" s="2193"/>
      <c r="P326" s="561"/>
      <c r="R326" s="391"/>
    </row>
    <row r="327" spans="1:18" s="105" customFormat="1" ht="10.5" customHeight="1">
      <c r="A327" s="143"/>
      <c r="B327" s="389" t="s">
        <v>2004</v>
      </c>
      <c r="C327" s="37" t="s">
        <v>4114</v>
      </c>
      <c r="D327" s="34"/>
      <c r="N327" s="948" t="s">
        <v>2004</v>
      </c>
      <c r="O327" s="2196"/>
      <c r="P327" s="562"/>
      <c r="R327" s="391"/>
    </row>
    <row r="328" spans="1:18" s="105" customFormat="1" ht="10.5" customHeight="1">
      <c r="A328" s="143"/>
      <c r="B328" s="389" t="s">
        <v>2551</v>
      </c>
      <c r="C328" s="37" t="s">
        <v>4113</v>
      </c>
      <c r="D328" s="34"/>
      <c r="N328" s="948" t="s">
        <v>2551</v>
      </c>
      <c r="O328" s="2196"/>
      <c r="P328" s="562"/>
      <c r="R328" s="391"/>
    </row>
    <row r="329" spans="1:18" s="105" customFormat="1" ht="10.5" customHeight="1">
      <c r="A329" s="143"/>
      <c r="B329" s="389" t="s">
        <v>1236</v>
      </c>
      <c r="C329" s="37" t="s">
        <v>4115</v>
      </c>
      <c r="D329" s="34"/>
      <c r="N329" s="948" t="s">
        <v>1236</v>
      </c>
      <c r="O329" s="2192"/>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193"/>
      <c r="P331" s="561"/>
      <c r="Q331" s="112"/>
    </row>
    <row r="332" spans="1:18" s="105" customFormat="1" ht="10.5" customHeight="1">
      <c r="A332" s="143"/>
      <c r="B332" s="389" t="s">
        <v>2004</v>
      </c>
      <c r="C332" s="37" t="s">
        <v>4127</v>
      </c>
      <c r="D332" s="34"/>
      <c r="N332" s="948" t="s">
        <v>2004</v>
      </c>
      <c r="O332" s="2196"/>
      <c r="P332" s="562"/>
      <c r="R332" s="391"/>
    </row>
    <row r="333" spans="1:18" s="105" customFormat="1" ht="10.5" customHeight="1">
      <c r="A333" s="143"/>
      <c r="B333" s="389" t="s">
        <v>2551</v>
      </c>
      <c r="C333" s="37" t="s">
        <v>4115</v>
      </c>
      <c r="D333" s="34"/>
      <c r="N333" s="948" t="s">
        <v>2551</v>
      </c>
      <c r="O333" s="2192"/>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3165"/>
      <c r="B335" s="3166"/>
      <c r="C335" s="3166"/>
      <c r="D335" s="3166"/>
      <c r="E335" s="3166"/>
      <c r="F335" s="3166"/>
      <c r="G335" s="3166"/>
      <c r="H335" s="3166"/>
      <c r="I335" s="3166"/>
      <c r="J335" s="3166"/>
      <c r="K335" s="3166"/>
      <c r="L335" s="3166"/>
      <c r="M335" s="3166"/>
      <c r="N335" s="3166"/>
      <c r="O335" s="3166"/>
      <c r="P335" s="3167"/>
      <c r="Q335" s="461"/>
    </row>
    <row r="336" spans="1:18" ht="2.25" customHeight="1" thickBot="1"/>
    <row r="337" spans="1:18" s="64" customFormat="1" ht="12.6" customHeight="1" thickBot="1">
      <c r="A337" s="158" t="s">
        <v>2267</v>
      </c>
      <c r="B337" s="108" t="s">
        <v>4097</v>
      </c>
      <c r="H337" s="37" t="s">
        <v>3601</v>
      </c>
      <c r="I337" s="1609" t="str">
        <f>'Part I-Project Information'!$H$100</f>
        <v>Flexible</v>
      </c>
      <c r="J337" s="1601"/>
      <c r="L337" s="391" t="str">
        <f>IF(OR($O337=$M337,$O337=0,$O337=""),"","* * Check Score! * *")</f>
        <v/>
      </c>
      <c r="M337" s="1584">
        <v>1</v>
      </c>
      <c r="N337" s="410"/>
      <c r="O337" s="2248"/>
      <c r="P337" s="1250"/>
      <c r="Q337" s="112" t="s">
        <v>443</v>
      </c>
      <c r="R337" s="1192" t="s">
        <v>2724</v>
      </c>
    </row>
    <row r="338" spans="1:18" s="64" customFormat="1" ht="12" customHeight="1">
      <c r="A338" s="3204" t="s">
        <v>4195</v>
      </c>
      <c r="B338" s="3204"/>
      <c r="C338" s="3204"/>
      <c r="D338" s="3204"/>
      <c r="E338" s="3204"/>
      <c r="F338" s="3204"/>
      <c r="G338" s="3204"/>
      <c r="H338" s="3204"/>
      <c r="I338" s="3589" t="s">
        <v>4196</v>
      </c>
      <c r="J338" s="3589"/>
      <c r="K338" s="3589"/>
      <c r="L338" s="3589"/>
      <c r="M338" s="3589"/>
      <c r="N338" s="3589"/>
      <c r="O338" s="3589"/>
      <c r="P338" s="3589"/>
      <c r="R338" s="391"/>
    </row>
    <row r="339" spans="1:18" s="64" customFormat="1" ht="12" customHeight="1">
      <c r="A339" s="3204"/>
      <c r="B339" s="3204"/>
      <c r="C339" s="3204"/>
      <c r="D339" s="3204"/>
      <c r="E339" s="3204"/>
      <c r="F339" s="3204"/>
      <c r="G339" s="3204"/>
      <c r="H339" s="3204"/>
      <c r="I339" s="3500">
        <v>1</v>
      </c>
      <c r="J339" s="3500"/>
      <c r="K339" s="3500"/>
      <c r="L339" s="3500">
        <v>3</v>
      </c>
      <c r="M339" s="3500"/>
      <c r="N339" s="3500"/>
      <c r="O339" s="3500"/>
      <c r="P339" s="3500"/>
      <c r="R339" s="391"/>
    </row>
    <row r="340" spans="1:18" s="64" customFormat="1" ht="12" customHeight="1">
      <c r="A340" s="3204"/>
      <c r="B340" s="3204"/>
      <c r="C340" s="3204"/>
      <c r="D340" s="3204"/>
      <c r="E340" s="3204"/>
      <c r="F340" s="3204"/>
      <c r="G340" s="3204"/>
      <c r="H340" s="3204"/>
      <c r="I340" s="3501">
        <v>2</v>
      </c>
      <c r="J340" s="3501"/>
      <c r="K340" s="3501"/>
      <c r="L340" s="3501">
        <v>4</v>
      </c>
      <c r="M340" s="3501"/>
      <c r="N340" s="3501"/>
      <c r="O340" s="3501"/>
      <c r="P340" s="3501"/>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3461"/>
      <c r="B342" s="3462"/>
      <c r="C342" s="3462"/>
      <c r="D342" s="3462"/>
      <c r="E342" s="3462"/>
      <c r="F342" s="3462"/>
      <c r="G342" s="3462"/>
      <c r="H342" s="3462"/>
      <c r="I342" s="3462"/>
      <c r="J342" s="3462"/>
      <c r="K342" s="3462"/>
      <c r="L342" s="3462"/>
      <c r="M342" s="3462"/>
      <c r="N342" s="3462"/>
      <c r="O342" s="3462"/>
      <c r="P342" s="346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3165"/>
      <c r="B344" s="3166"/>
      <c r="C344" s="3166"/>
      <c r="D344" s="3166"/>
      <c r="E344" s="3166"/>
      <c r="F344" s="3166"/>
      <c r="G344" s="3166"/>
      <c r="H344" s="3166"/>
      <c r="I344" s="3166"/>
      <c r="J344" s="3166"/>
      <c r="K344" s="3166"/>
      <c r="L344" s="3166"/>
      <c r="M344" s="3166"/>
      <c r="N344" s="3166"/>
      <c r="O344" s="3166"/>
      <c r="P344" s="3167"/>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2724</v>
      </c>
    </row>
    <row r="348" spans="1:18" s="44" customFormat="1" ht="11.25" customHeight="1">
      <c r="B348" s="41" t="s">
        <v>4101</v>
      </c>
      <c r="D348" s="105"/>
      <c r="E348" s="91"/>
      <c r="F348" s="53"/>
      <c r="G348" s="53"/>
      <c r="H348" s="3506" t="s">
        <v>2539</v>
      </c>
      <c r="I348" s="3465"/>
      <c r="J348" s="3465"/>
      <c r="K348" s="3507"/>
      <c r="N348" s="484" t="s">
        <v>1999</v>
      </c>
      <c r="O348" s="1297" t="s">
        <v>2527</v>
      </c>
      <c r="P348" s="1297" t="s">
        <v>2527</v>
      </c>
    </row>
    <row r="349" spans="1:18" s="121" customFormat="1" ht="10.5" customHeight="1">
      <c r="B349" s="450" t="s">
        <v>2002</v>
      </c>
      <c r="C349" s="448" t="s">
        <v>4098</v>
      </c>
      <c r="N349" s="450" t="s">
        <v>2002</v>
      </c>
      <c r="O349" s="2193"/>
      <c r="P349" s="561"/>
    </row>
    <row r="350" spans="1:18" s="121" customFormat="1" ht="10.5" customHeight="1">
      <c r="B350" s="450" t="s">
        <v>2004</v>
      </c>
      <c r="C350" s="448" t="s">
        <v>4099</v>
      </c>
      <c r="N350" s="450" t="s">
        <v>2004</v>
      </c>
      <c r="O350" s="2196"/>
      <c r="P350" s="562"/>
    </row>
    <row r="351" spans="1:18" s="121" customFormat="1" ht="10.5" customHeight="1">
      <c r="B351" s="450" t="s">
        <v>2551</v>
      </c>
      <c r="C351" s="448" t="s">
        <v>4100</v>
      </c>
      <c r="N351" s="450" t="s">
        <v>2551</v>
      </c>
      <c r="O351" s="2192"/>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3522" t="s">
        <v>3509</v>
      </c>
      <c r="I354" s="3522"/>
      <c r="J354" s="3522"/>
      <c r="K354" s="3522"/>
      <c r="L354" s="3522"/>
      <c r="M354" s="1236">
        <v>1</v>
      </c>
      <c r="N354" s="67" t="s">
        <v>2001</v>
      </c>
      <c r="O354" s="2205"/>
      <c r="P354" s="1231"/>
      <c r="Q354" s="1090" t="str">
        <f>IF(OR($O354=$M354,$O354=0,$O354=""),"","*CHECK!*")</f>
        <v/>
      </c>
      <c r="R354" s="1192" t="s">
        <v>2724</v>
      </c>
    </row>
    <row r="355" spans="1:19" s="34" customFormat="1" ht="10.5" customHeight="1">
      <c r="B355" s="515" t="s">
        <v>2816</v>
      </c>
      <c r="E355" s="620"/>
      <c r="O355" s="2207"/>
      <c r="P355" s="566"/>
      <c r="Q355" s="179"/>
    </row>
    <row r="356" spans="1:19" s="34" customFormat="1" ht="10.5" customHeight="1">
      <c r="A356" s="532"/>
      <c r="B356" s="139" t="s">
        <v>3643</v>
      </c>
      <c r="C356" s="953" t="str">
        <f>'Part I-Project Information'!$F$38</f>
        <v>Atlanta</v>
      </c>
      <c r="E356" s="139" t="s">
        <v>3508</v>
      </c>
      <c r="F356" s="953" t="str">
        <f>'Part I-Project Information'!$J$39</f>
        <v>Fulton</v>
      </c>
      <c r="H356" s="448" t="s">
        <v>455</v>
      </c>
      <c r="I356" s="910" t="str">
        <f>'Part I-Project Information'!$N$39</f>
        <v>Yes</v>
      </c>
      <c r="K356" s="448" t="s">
        <v>3642</v>
      </c>
      <c r="L356" s="3523" t="str">
        <f>'Part I-Project Information'!$O$38</f>
        <v>84.00</v>
      </c>
      <c r="M356" s="3523"/>
      <c r="N356" s="3523"/>
      <c r="O356" s="3523"/>
      <c r="P356" s="3523"/>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3461"/>
      <c r="B358" s="3462"/>
      <c r="C358" s="3462"/>
      <c r="D358" s="3462"/>
      <c r="E358" s="3462"/>
      <c r="F358" s="3462"/>
      <c r="G358" s="3462"/>
      <c r="H358" s="3462"/>
      <c r="I358" s="3462"/>
      <c r="J358" s="3462"/>
      <c r="K358" s="3462"/>
      <c r="L358" s="3462"/>
      <c r="M358" s="3462"/>
      <c r="N358" s="3462"/>
      <c r="O358" s="3462"/>
      <c r="P358" s="346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3165"/>
      <c r="B360" s="3166"/>
      <c r="C360" s="3166"/>
      <c r="D360" s="3166"/>
      <c r="E360" s="3166"/>
      <c r="F360" s="3166"/>
      <c r="G360" s="3166"/>
      <c r="H360" s="3166"/>
      <c r="I360" s="3166"/>
      <c r="J360" s="3166"/>
      <c r="K360" s="3166"/>
      <c r="L360" s="3166"/>
      <c r="M360" s="3166"/>
      <c r="N360" s="3166"/>
      <c r="O360" s="3166"/>
      <c r="P360" s="3167"/>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Flexible</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3524" t="str">
        <f>IF(OR(O364="No",O364="",O365="No",O365="",O366="No",O366="",O367="No",O367=""),"Unmet criterion results in no points!","")</f>
        <v/>
      </c>
      <c r="M364" s="3524"/>
      <c r="N364" s="390" t="s">
        <v>2451</v>
      </c>
      <c r="O364" s="2193" t="s">
        <v>3011</v>
      </c>
      <c r="P364" s="561"/>
      <c r="R364" s="3521" t="str">
        <f>IF(OR(P364="No",P364="",P365="No",P365="",P366="No",P366="",P367="No",P367=""),"Unmet criterion results in no points!","")</f>
        <v>Unmet criterion results in no points!</v>
      </c>
      <c r="S364" s="3521" t="e">
        <f>IF(OR(V364="No",V364="",V365="No",V365="",V366="No",V366="",V367="No",V367="",#REF!="No",#REF!="",#REF!="No",#REF!=""),"Unmet criterion results in no points!","")</f>
        <v>#REF!</v>
      </c>
    </row>
    <row r="365" spans="1:19" s="103" customFormat="1" ht="10.5" customHeight="1">
      <c r="B365" s="402" t="s">
        <v>2452</v>
      </c>
      <c r="C365" s="446" t="s">
        <v>3837</v>
      </c>
      <c r="L365" s="3524"/>
      <c r="M365" s="3524"/>
      <c r="N365" s="402" t="s">
        <v>2452</v>
      </c>
      <c r="O365" s="2196" t="s">
        <v>3011</v>
      </c>
      <c r="P365" s="562"/>
      <c r="R365" s="3521"/>
      <c r="S365" s="3521"/>
    </row>
    <row r="366" spans="1:19" s="103" customFormat="1" ht="10.5" customHeight="1">
      <c r="B366" s="390" t="s">
        <v>2453</v>
      </c>
      <c r="C366" s="446" t="s">
        <v>3836</v>
      </c>
      <c r="L366" s="3524"/>
      <c r="M366" s="3524"/>
      <c r="N366" s="390" t="s">
        <v>2453</v>
      </c>
      <c r="O366" s="2196" t="s">
        <v>3011</v>
      </c>
      <c r="P366" s="562"/>
      <c r="R366" s="3521"/>
      <c r="S366" s="3521"/>
    </row>
    <row r="367" spans="1:19" s="103" customFormat="1" ht="29.25" customHeight="1">
      <c r="B367" s="402" t="s">
        <v>2454</v>
      </c>
      <c r="C367" s="3391" t="s">
        <v>4105</v>
      </c>
      <c r="D367" s="3391"/>
      <c r="E367" s="3391"/>
      <c r="F367" s="3391"/>
      <c r="G367" s="3391"/>
      <c r="H367" s="3391"/>
      <c r="I367" s="3391"/>
      <c r="J367" s="3391"/>
      <c r="K367" s="3391"/>
      <c r="L367" s="3391"/>
      <c r="M367" s="3391"/>
      <c r="N367" s="402" t="s">
        <v>2454</v>
      </c>
      <c r="O367" s="2249" t="s">
        <v>3011</v>
      </c>
      <c r="P367" s="1282"/>
    </row>
    <row r="368" spans="1:19" ht="3" customHeight="1">
      <c r="C368" s="3391"/>
      <c r="D368" s="3391"/>
      <c r="E368" s="3391"/>
      <c r="F368" s="3391"/>
      <c r="G368" s="3391"/>
      <c r="H368" s="3391"/>
      <c r="I368" s="3391"/>
      <c r="J368" s="3391"/>
      <c r="K368" s="3391"/>
      <c r="L368" s="3391"/>
      <c r="M368" s="3391"/>
    </row>
    <row r="369" spans="1:18" ht="11.25" customHeight="1">
      <c r="A369" s="1124" t="s">
        <v>1999</v>
      </c>
      <c r="B369" s="184" t="s">
        <v>4106</v>
      </c>
      <c r="L369" s="391" t="str">
        <f>IF(OR($O369=$M369,$O369=0,$O369=""),"","* * Check Score! * *")</f>
        <v/>
      </c>
      <c r="M369" s="1236">
        <v>3</v>
      </c>
      <c r="N369" s="484" t="s">
        <v>1999</v>
      </c>
      <c r="O369" s="2201">
        <v>3</v>
      </c>
      <c r="P369" s="912"/>
      <c r="Q369" s="1090" t="str">
        <f>IF(OR($O369=$M369,$O369=0,$O369=""),"","*CHECK!*")</f>
        <v/>
      </c>
      <c r="R369" s="1192" t="s">
        <v>2724</v>
      </c>
    </row>
    <row r="370" spans="1:18" ht="22.5" customHeight="1">
      <c r="A370" s="1124"/>
      <c r="B370" s="456" t="s">
        <v>2002</v>
      </c>
      <c r="C370" s="3315" t="s">
        <v>4107</v>
      </c>
      <c r="D370" s="3315"/>
      <c r="E370" s="3315"/>
      <c r="F370" s="3315"/>
      <c r="G370" s="3315"/>
      <c r="H370" s="3315"/>
      <c r="I370" s="3315"/>
      <c r="J370" s="3605" t="s">
        <v>2006</v>
      </c>
      <c r="K370" s="3605"/>
      <c r="M370" s="3605" t="s">
        <v>2006</v>
      </c>
      <c r="N370" s="3605"/>
      <c r="O370" s="3605"/>
      <c r="P370" s="3605"/>
    </row>
    <row r="371" spans="1:18" s="44" customFormat="1" ht="10.5" customHeight="1">
      <c r="A371" s="182"/>
      <c r="B371" s="390" t="s">
        <v>2451</v>
      </c>
      <c r="C371" s="37" t="s">
        <v>1494</v>
      </c>
      <c r="I371" s="390" t="s">
        <v>2451</v>
      </c>
      <c r="J371" s="3593"/>
      <c r="K371" s="3594"/>
      <c r="L371" s="390" t="s">
        <v>2451</v>
      </c>
      <c r="M371" s="3491"/>
      <c r="N371" s="3492"/>
      <c r="O371" s="3492"/>
      <c r="P371" s="3493"/>
      <c r="R371" s="391"/>
    </row>
    <row r="372" spans="1:18" ht="10.5" customHeight="1">
      <c r="A372" s="183"/>
      <c r="B372" s="402" t="s">
        <v>2452</v>
      </c>
      <c r="C372" s="37" t="s">
        <v>3647</v>
      </c>
      <c r="I372" s="402" t="s">
        <v>2452</v>
      </c>
      <c r="J372" s="3485"/>
      <c r="K372" s="3486"/>
      <c r="L372" s="402" t="s">
        <v>2452</v>
      </c>
      <c r="M372" s="3482"/>
      <c r="N372" s="3483"/>
      <c r="O372" s="3483"/>
      <c r="P372" s="3484"/>
      <c r="R372" s="391"/>
    </row>
    <row r="373" spans="1:18" ht="10.5" customHeight="1">
      <c r="B373" s="390" t="s">
        <v>2453</v>
      </c>
      <c r="C373" s="37" t="s">
        <v>2643</v>
      </c>
      <c r="I373" s="390" t="s">
        <v>2453</v>
      </c>
      <c r="J373" s="3485">
        <v>2000000</v>
      </c>
      <c r="K373" s="3486"/>
      <c r="L373" s="390" t="s">
        <v>2453</v>
      </c>
      <c r="M373" s="3482"/>
      <c r="N373" s="3483"/>
      <c r="O373" s="3483"/>
      <c r="P373" s="3484"/>
      <c r="R373" s="391"/>
    </row>
    <row r="374" spans="1:18" ht="10.5" customHeight="1">
      <c r="A374" s="183"/>
      <c r="B374" s="390" t="s">
        <v>2454</v>
      </c>
      <c r="C374" s="37" t="s">
        <v>3484</v>
      </c>
      <c r="I374" s="390" t="s">
        <v>2454</v>
      </c>
      <c r="J374" s="3485"/>
      <c r="K374" s="3486"/>
      <c r="L374" s="390" t="s">
        <v>2454</v>
      </c>
      <c r="M374" s="3482"/>
      <c r="N374" s="3483"/>
      <c r="O374" s="3483"/>
      <c r="P374" s="3484"/>
      <c r="R374" s="391"/>
    </row>
    <row r="375" spans="1:18" s="44" customFormat="1" ht="10.5" customHeight="1">
      <c r="A375" s="182"/>
      <c r="B375" s="402" t="s">
        <v>2455</v>
      </c>
      <c r="C375" s="37" t="s">
        <v>2749</v>
      </c>
      <c r="I375" s="402" t="s">
        <v>2455</v>
      </c>
      <c r="J375" s="3485"/>
      <c r="K375" s="3486"/>
      <c r="L375" s="402" t="s">
        <v>2455</v>
      </c>
      <c r="M375" s="3482"/>
      <c r="N375" s="3483"/>
      <c r="O375" s="3483"/>
      <c r="P375" s="3484"/>
      <c r="R375" s="391"/>
    </row>
    <row r="376" spans="1:18" ht="10.5" customHeight="1">
      <c r="B376" s="390" t="s">
        <v>2471</v>
      </c>
      <c r="C376" s="37" t="s">
        <v>1493</v>
      </c>
      <c r="I376" s="390" t="s">
        <v>2471</v>
      </c>
      <c r="J376" s="3485"/>
      <c r="K376" s="3486"/>
      <c r="L376" s="390" t="s">
        <v>2471</v>
      </c>
      <c r="M376" s="3482"/>
      <c r="N376" s="3483"/>
      <c r="O376" s="3483"/>
      <c r="P376" s="3484"/>
      <c r="R376" s="391"/>
    </row>
    <row r="377" spans="1:18" ht="10.5" customHeight="1">
      <c r="A377" s="183"/>
      <c r="B377" s="390" t="s">
        <v>2472</v>
      </c>
      <c r="C377" s="37" t="s">
        <v>3645</v>
      </c>
      <c r="I377" s="390" t="s">
        <v>2472</v>
      </c>
      <c r="J377" s="3485"/>
      <c r="K377" s="3486"/>
      <c r="L377" s="390" t="s">
        <v>2472</v>
      </c>
      <c r="M377" s="3482"/>
      <c r="N377" s="3483"/>
      <c r="O377" s="3483"/>
      <c r="P377" s="3484"/>
      <c r="R377" s="391"/>
    </row>
    <row r="378" spans="1:18" ht="10.5" customHeight="1">
      <c r="A378" s="183"/>
      <c r="B378" s="401" t="s">
        <v>2473</v>
      </c>
      <c r="C378" s="37" t="s">
        <v>4110</v>
      </c>
      <c r="I378" s="401" t="s">
        <v>2473</v>
      </c>
      <c r="J378" s="3485"/>
      <c r="K378" s="3486"/>
      <c r="L378" s="401" t="s">
        <v>2473</v>
      </c>
      <c r="M378" s="3482"/>
      <c r="N378" s="3483"/>
      <c r="O378" s="3483"/>
      <c r="P378" s="3484"/>
      <c r="R378" s="391"/>
    </row>
    <row r="379" spans="1:18" ht="10.5" customHeight="1">
      <c r="B379" s="401" t="s">
        <v>2474</v>
      </c>
      <c r="C379" s="37" t="s">
        <v>3646</v>
      </c>
      <c r="I379" s="401" t="s">
        <v>2474</v>
      </c>
      <c r="J379" s="3485"/>
      <c r="K379" s="3486"/>
      <c r="L379" s="401" t="s">
        <v>2474</v>
      </c>
      <c r="M379" s="3482"/>
      <c r="N379" s="3483"/>
      <c r="O379" s="3483"/>
      <c r="P379" s="3484"/>
      <c r="R379" s="391"/>
    </row>
    <row r="380" spans="1:18" ht="10.5" customHeight="1" thickBot="1">
      <c r="B380" s="401" t="s">
        <v>3648</v>
      </c>
      <c r="C380" s="37" t="s">
        <v>4189</v>
      </c>
      <c r="I380" s="401" t="s">
        <v>3648</v>
      </c>
      <c r="J380" s="3485"/>
      <c r="K380" s="3486"/>
      <c r="L380" s="401" t="s">
        <v>3648</v>
      </c>
      <c r="M380" s="3576"/>
      <c r="N380" s="3577"/>
      <c r="O380" s="3577"/>
      <c r="P380" s="3578"/>
      <c r="R380" s="391"/>
    </row>
    <row r="381" spans="1:18" ht="10.5" customHeight="1" thickBot="1">
      <c r="A381" s="183"/>
      <c r="B381" s="1295" t="s">
        <v>4111</v>
      </c>
      <c r="H381" s="1331" t="s">
        <v>2645</v>
      </c>
      <c r="J381" s="3579">
        <f>SUM(J371:K380)</f>
        <v>2000000</v>
      </c>
      <c r="K381" s="3580"/>
      <c r="M381" s="3579">
        <f>SUM($M371:$M380)</f>
        <v>0</v>
      </c>
      <c r="N381" s="3581"/>
      <c r="O381" s="3581"/>
      <c r="P381" s="358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250">
        <v>15349522</v>
      </c>
      <c r="I383" s="1230"/>
      <c r="J383" s="3541">
        <f>'Part IV-A-Uses of Funds'!$G$132</f>
        <v>15349522</v>
      </c>
      <c r="K383" s="3542"/>
      <c r="M383" s="526"/>
      <c r="N383" s="526"/>
      <c r="O383" s="164"/>
      <c r="P383" s="526"/>
    </row>
    <row r="384" spans="1:18" ht="10.5" customHeight="1">
      <c r="A384" s="3582" t="s">
        <v>4300</v>
      </c>
      <c r="B384" s="3582"/>
      <c r="C384" s="3582"/>
      <c r="D384" s="3582"/>
      <c r="E384" s="453" t="s">
        <v>2647</v>
      </c>
      <c r="H384" s="2251">
        <v>0.1303</v>
      </c>
      <c r="I384" s="1230"/>
      <c r="J384" s="3543">
        <f>IF($J383=0,0,$J381/$J383)</f>
        <v>0.13029721707294858</v>
      </c>
      <c r="K384" s="3544"/>
      <c r="M384" s="3545">
        <f>IF($J383=0,0,$M381/$J383)</f>
        <v>0</v>
      </c>
      <c r="N384" s="3546"/>
      <c r="O384" s="3546"/>
      <c r="P384" s="3547"/>
    </row>
    <row r="385" spans="1:23" s="44" customFormat="1" ht="10.5" customHeight="1">
      <c r="A385" s="3582"/>
      <c r="B385" s="3582"/>
      <c r="C385" s="3582"/>
      <c r="D385" s="3582"/>
      <c r="E385" s="1160" t="s">
        <v>4299</v>
      </c>
      <c r="H385" s="2252">
        <v>3</v>
      </c>
      <c r="I385" s="1230"/>
      <c r="J385" s="3488">
        <f>IF(L364="", IF($J384&gt;=0.1, 3,IF($J384&gt;=0.05, 2,IF($J384&gt;=0.02,1,0))),0)</f>
        <v>3</v>
      </c>
      <c r="K385" s="3490"/>
      <c r="L385" s="537"/>
      <c r="M385" s="3488">
        <f>IF(R364="", IF($M384&gt;=0.1, 3,IF($M384&gt;=0.05, 2,IF($M384&gt;=0.02,1,0))),0)</f>
        <v>0</v>
      </c>
      <c r="N385" s="3489"/>
      <c r="O385" s="3489"/>
      <c r="P385" s="3490"/>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205"/>
      <c r="P387" s="1231"/>
      <c r="Q387" s="112" t="s">
        <v>443</v>
      </c>
      <c r="R387" s="1192" t="s">
        <v>2724</v>
      </c>
      <c r="V387" s="1169"/>
      <c r="W387" s="1169"/>
    </row>
    <row r="388" spans="1:23" s="44" customFormat="1" ht="22.5" customHeight="1">
      <c r="A388" s="143"/>
      <c r="B388" s="1102" t="s">
        <v>2451</v>
      </c>
      <c r="C388" s="3204" t="s">
        <v>4108</v>
      </c>
      <c r="D388" s="3204"/>
      <c r="E388" s="3204"/>
      <c r="F388" s="3204"/>
      <c r="G388" s="3204"/>
      <c r="H388" s="3204"/>
      <c r="I388" s="3204"/>
      <c r="J388" s="3204"/>
      <c r="K388" s="3204"/>
      <c r="L388" s="3204"/>
      <c r="M388" s="3204"/>
      <c r="N388" s="402" t="s">
        <v>2451</v>
      </c>
      <c r="O388" s="2253"/>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192"/>
      <c r="P389" s="563"/>
      <c r="V389" s="1169"/>
      <c r="W389" s="1169"/>
    </row>
    <row r="390" spans="1:23" ht="10.5" customHeight="1">
      <c r="B390" s="390" t="s">
        <v>2453</v>
      </c>
      <c r="C390" s="446" t="s">
        <v>4109</v>
      </c>
      <c r="N390" s="390" t="s">
        <v>2453</v>
      </c>
      <c r="O390" s="2192"/>
      <c r="P390" s="563"/>
    </row>
    <row r="391" spans="1:23" ht="12" customHeight="1" thickBot="1">
      <c r="B391" s="1332" t="s">
        <v>3780</v>
      </c>
    </row>
    <row r="392" spans="1:23" s="44" customFormat="1" ht="21.75" customHeight="1" thickTop="1" thickBot="1">
      <c r="A392" s="3461" t="s">
        <v>4708</v>
      </c>
      <c r="B392" s="3462"/>
      <c r="C392" s="3462"/>
      <c r="D392" s="3462"/>
      <c r="E392" s="3462"/>
      <c r="F392" s="3462"/>
      <c r="G392" s="3462"/>
      <c r="H392" s="3462"/>
      <c r="I392" s="3462"/>
      <c r="J392" s="3462"/>
      <c r="K392" s="3462"/>
      <c r="L392" s="3462"/>
      <c r="M392" s="3462"/>
      <c r="N392" s="3462"/>
      <c r="O392" s="3462"/>
      <c r="P392" s="346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3165"/>
      <c r="B394" s="3166"/>
      <c r="C394" s="3166"/>
      <c r="D394" s="3166"/>
      <c r="E394" s="3166"/>
      <c r="F394" s="3166"/>
      <c r="G394" s="3166"/>
      <c r="H394" s="3166"/>
      <c r="I394" s="3166"/>
      <c r="J394" s="3166"/>
      <c r="K394" s="3166"/>
      <c r="L394" s="3166"/>
      <c r="M394" s="3166"/>
      <c r="N394" s="3166"/>
      <c r="O394" s="3166"/>
      <c r="P394" s="3167"/>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4150</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12.3</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3280" t="s">
        <v>3839</v>
      </c>
      <c r="D398" s="3280"/>
      <c r="E398" s="3280"/>
      <c r="F398" s="3280"/>
      <c r="G398" s="3280"/>
      <c r="H398" s="3280"/>
      <c r="I398" s="3280"/>
      <c r="J398" s="1338" t="s">
        <v>3842</v>
      </c>
      <c r="K398" s="1334"/>
      <c r="L398" s="1127">
        <f>'Part VI-Revenues &amp; Expenses'!$O$58</f>
        <v>123</v>
      </c>
      <c r="M398" s="3487" t="str">
        <f>IF(L400&lt;L399,"Check 1BR LI count!","")</f>
        <v/>
      </c>
      <c r="N398" s="404" t="s">
        <v>2002</v>
      </c>
      <c r="O398" s="2235" t="s">
        <v>4604</v>
      </c>
      <c r="P398" s="1262"/>
      <c r="Q398" s="541"/>
      <c r="R398" s="535"/>
    </row>
    <row r="399" spans="1:23" s="427" customFormat="1" ht="11.25" customHeight="1">
      <c r="A399" s="148"/>
      <c r="B399" s="456"/>
      <c r="C399" s="3280"/>
      <c r="D399" s="3280"/>
      <c r="E399" s="3280"/>
      <c r="F399" s="3280"/>
      <c r="G399" s="3280"/>
      <c r="H399" s="3280"/>
      <c r="I399" s="3280"/>
      <c r="J399" s="1338" t="s">
        <v>3843</v>
      </c>
      <c r="K399" s="1335"/>
      <c r="L399" s="1128">
        <f>L398*0.1</f>
        <v>12.3</v>
      </c>
      <c r="M399" s="3487"/>
      <c r="N399" s="404"/>
      <c r="O399" s="404"/>
      <c r="P399" s="404"/>
      <c r="Q399" s="541"/>
      <c r="R399" s="535"/>
    </row>
    <row r="400" spans="1:23" s="427" customFormat="1" ht="11.25" customHeight="1">
      <c r="A400" s="148"/>
      <c r="B400" s="456"/>
      <c r="C400" s="3280"/>
      <c r="D400" s="3280"/>
      <c r="E400" s="3280"/>
      <c r="F400" s="3280"/>
      <c r="G400" s="3280"/>
      <c r="H400" s="3280"/>
      <c r="I400" s="3280"/>
      <c r="J400" s="1339" t="s">
        <v>3844</v>
      </c>
      <c r="K400" s="1340"/>
      <c r="L400" s="1129">
        <f>'Part VI-Revenues &amp; Expenses'!$K$58</f>
        <v>28</v>
      </c>
      <c r="M400" s="3487"/>
      <c r="N400" s="404"/>
      <c r="O400" s="404"/>
      <c r="P400" s="404"/>
      <c r="Q400" s="541"/>
      <c r="R400" s="535"/>
    </row>
    <row r="401" spans="1:18" s="451" customFormat="1" ht="11.25" customHeight="1">
      <c r="A401" s="552"/>
      <c r="B401" s="456" t="s">
        <v>2004</v>
      </c>
      <c r="C401" s="3505" t="s">
        <v>3416</v>
      </c>
      <c r="D401" s="3505"/>
      <c r="E401" s="3505"/>
      <c r="F401" s="3505"/>
      <c r="G401" s="3505"/>
      <c r="H401" s="3505"/>
      <c r="I401" s="3505"/>
      <c r="J401" s="3505"/>
      <c r="K401" s="3505"/>
      <c r="L401" s="3505"/>
      <c r="M401" s="3505"/>
      <c r="N401" s="404" t="s">
        <v>2004</v>
      </c>
      <c r="O401" s="2193"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196" t="s">
        <v>3011</v>
      </c>
      <c r="P402" s="562"/>
    </row>
    <row r="403" spans="1:18" s="451" customFormat="1" ht="11.25" customHeight="1">
      <c r="A403" s="552"/>
      <c r="B403" s="456" t="s">
        <v>1236</v>
      </c>
      <c r="C403" s="3505" t="s">
        <v>3838</v>
      </c>
      <c r="D403" s="3505"/>
      <c r="E403" s="3505"/>
      <c r="F403" s="3505"/>
      <c r="G403" s="3505"/>
      <c r="H403" s="3505"/>
      <c r="I403" s="3505"/>
      <c r="J403" s="3505"/>
      <c r="K403" s="3505"/>
      <c r="L403" s="3505"/>
      <c r="M403" s="3505"/>
      <c r="N403" s="404" t="s">
        <v>1236</v>
      </c>
      <c r="O403" s="2192"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3280" t="s">
        <v>3861</v>
      </c>
      <c r="D406" s="3280"/>
      <c r="E406" s="3280"/>
      <c r="F406" s="3280"/>
      <c r="G406" s="3280"/>
      <c r="H406" s="3280"/>
      <c r="I406" s="3280"/>
      <c r="J406" s="3280"/>
      <c r="K406" s="3280"/>
      <c r="L406" s="3280"/>
      <c r="M406" s="622"/>
      <c r="N406" s="404" t="s">
        <v>2002</v>
      </c>
      <c r="O406" s="2235"/>
      <c r="P406" s="1262"/>
      <c r="Q406" s="541"/>
      <c r="R406" s="535"/>
    </row>
    <row r="407" spans="1:18" s="427" customFormat="1" ht="11.25" customHeight="1">
      <c r="A407" s="148"/>
      <c r="B407" s="456"/>
      <c r="C407" s="498" t="s">
        <v>3680</v>
      </c>
      <c r="D407" s="1596"/>
      <c r="E407" s="1596"/>
      <c r="F407" s="1596"/>
      <c r="G407" s="3573"/>
      <c r="H407" s="3574"/>
      <c r="I407" s="3575"/>
      <c r="J407" s="1369" t="s">
        <v>3681</v>
      </c>
      <c r="L407" s="2254"/>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2255">
        <v>0</v>
      </c>
      <c r="M408" s="973">
        <f>IF('Part VI-Revenues &amp; Expenses'!$O$62=0,0,L408/'Part VI-Revenues &amp; Expenses'!$O$62)</f>
        <v>0</v>
      </c>
      <c r="N408" s="404" t="s">
        <v>2004</v>
      </c>
      <c r="O408" s="2235"/>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3461" t="s">
        <v>4711</v>
      </c>
      <c r="B410" s="3462"/>
      <c r="C410" s="3462"/>
      <c r="D410" s="3462"/>
      <c r="E410" s="3462"/>
      <c r="F410" s="3462"/>
      <c r="G410" s="3462"/>
      <c r="H410" s="3462"/>
      <c r="I410" s="3462"/>
      <c r="J410" s="3462"/>
      <c r="K410" s="3462"/>
      <c r="L410" s="3462"/>
      <c r="M410" s="3462"/>
      <c r="N410" s="3462"/>
      <c r="O410" s="3462"/>
      <c r="P410" s="346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3165"/>
      <c r="B412" s="3166"/>
      <c r="C412" s="3166"/>
      <c r="D412" s="3166"/>
      <c r="E412" s="3166"/>
      <c r="F412" s="3166"/>
      <c r="G412" s="3166"/>
      <c r="H412" s="3166"/>
      <c r="I412" s="3166"/>
      <c r="J412" s="3166"/>
      <c r="K412" s="3166"/>
      <c r="L412" s="3166"/>
      <c r="M412" s="3166"/>
      <c r="N412" s="3166"/>
      <c r="O412" s="3166"/>
      <c r="P412" s="3167"/>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506" t="s">
        <v>2923</v>
      </c>
      <c r="E416" s="3465"/>
      <c r="F416" s="3465"/>
      <c r="G416" s="3465"/>
      <c r="H416" s="3465"/>
      <c r="I416" s="3507"/>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201"/>
      <c r="P418" s="912"/>
      <c r="Q418" s="1090" t="str">
        <f>IF(OR($O418=$M418,$O418=0,$O418=""),"","*CHECK!*")</f>
        <v/>
      </c>
      <c r="R418" s="1192" t="s">
        <v>2724</v>
      </c>
    </row>
    <row r="419" spans="1:19" s="427" customFormat="1" ht="12" customHeight="1">
      <c r="A419" s="426"/>
      <c r="B419" s="3360" t="s">
        <v>4247</v>
      </c>
      <c r="C419" s="3360"/>
      <c r="D419" s="3360"/>
      <c r="E419" s="3360"/>
      <c r="F419" s="3360"/>
      <c r="G419" s="3360"/>
      <c r="H419" s="3360"/>
      <c r="I419" s="3360"/>
      <c r="J419" s="3360"/>
      <c r="K419" s="3360"/>
      <c r="L419" s="3360"/>
      <c r="M419" s="3280" t="s">
        <v>4249</v>
      </c>
      <c r="N419" s="3280"/>
      <c r="Q419" s="179"/>
    </row>
    <row r="420" spans="1:19" s="427" customFormat="1" ht="12" customHeight="1">
      <c r="B420" s="3360"/>
      <c r="C420" s="3360"/>
      <c r="D420" s="3360"/>
      <c r="E420" s="3360"/>
      <c r="F420" s="3360"/>
      <c r="G420" s="3360"/>
      <c r="H420" s="3360"/>
      <c r="I420" s="3360"/>
      <c r="J420" s="3360"/>
      <c r="K420" s="3360"/>
      <c r="L420" s="3360"/>
      <c r="M420" s="3280"/>
      <c r="N420" s="3280"/>
      <c r="O420" s="3548">
        <f>'Part VI-Revenues &amp; Expenses'!$O$82</f>
        <v>0</v>
      </c>
      <c r="P420" s="3549"/>
      <c r="Q420" s="179"/>
    </row>
    <row r="421" spans="1:19" s="427" customFormat="1" ht="12" customHeight="1">
      <c r="B421" s="3360"/>
      <c r="C421" s="3360"/>
      <c r="D421" s="3360"/>
      <c r="E421" s="3360"/>
      <c r="F421" s="3360"/>
      <c r="G421" s="3360"/>
      <c r="H421" s="3360"/>
      <c r="I421" s="3360"/>
      <c r="J421" s="3360"/>
      <c r="K421" s="3360"/>
      <c r="L421" s="3360"/>
      <c r="M421" s="41" t="s">
        <v>2848</v>
      </c>
      <c r="N421" s="428"/>
      <c r="O421" s="3548">
        <f>'Part VI-Revenues &amp; Expenses'!$O$62</f>
        <v>123</v>
      </c>
      <c r="P421" s="3549"/>
      <c r="Q421" s="179"/>
    </row>
    <row r="422" spans="1:19" s="427" customFormat="1" ht="12" customHeight="1">
      <c r="B422" s="3540"/>
      <c r="C422" s="3540"/>
      <c r="D422" s="3540"/>
      <c r="E422" s="3540"/>
      <c r="F422" s="3540"/>
      <c r="G422" s="3540"/>
      <c r="H422" s="3540"/>
      <c r="I422" s="3540"/>
      <c r="J422" s="3540"/>
      <c r="K422" s="3540"/>
      <c r="L422" s="3540"/>
      <c r="M422" s="550" t="s">
        <v>2849</v>
      </c>
      <c r="N422" s="428"/>
      <c r="O422" s="3536">
        <f>IF(O421=0,0,O420/O421)</f>
        <v>0</v>
      </c>
      <c r="P422" s="3537"/>
      <c r="Q422" s="179"/>
    </row>
    <row r="423" spans="1:19" s="44" customFormat="1" ht="66.75" customHeight="1">
      <c r="A423" s="552"/>
      <c r="B423" s="3502" t="s">
        <v>4254</v>
      </c>
      <c r="C423" s="3503"/>
      <c r="D423" s="3503"/>
      <c r="E423" s="3503"/>
      <c r="F423" s="3503"/>
      <c r="G423" s="3503"/>
      <c r="H423" s="3503"/>
      <c r="I423" s="3503"/>
      <c r="J423" s="3503"/>
      <c r="K423" s="3503"/>
      <c r="L423" s="3503"/>
      <c r="M423" s="3503"/>
      <c r="N423" s="3503"/>
      <c r="O423" s="3503"/>
      <c r="P423" s="3504"/>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3379</v>
      </c>
      <c r="C425" s="144"/>
      <c r="D425" s="924"/>
      <c r="H425" s="405"/>
      <c r="M425" s="428">
        <v>1</v>
      </c>
      <c r="N425" s="166" t="s">
        <v>2001</v>
      </c>
      <c r="O425" s="2201"/>
      <c r="P425" s="912"/>
      <c r="Q425" s="1090" t="str">
        <f>IF(OR($O425=$M425,$O425=0,$O425=""),"","*CHECK!*")</f>
        <v/>
      </c>
      <c r="R425" s="1192" t="s">
        <v>2724</v>
      </c>
    </row>
    <row r="426" spans="1:19" s="427" customFormat="1" ht="11.25" customHeight="1">
      <c r="A426" s="553"/>
      <c r="B426" s="3204" t="s">
        <v>4248</v>
      </c>
      <c r="C426" s="3204"/>
      <c r="D426" s="3204"/>
      <c r="E426" s="3204"/>
      <c r="F426" s="3204"/>
      <c r="G426" s="3204"/>
      <c r="H426" s="3204"/>
      <c r="I426" s="3204"/>
      <c r="J426" s="3204"/>
      <c r="K426" s="3204"/>
      <c r="L426" s="3204"/>
      <c r="M426" s="498" t="s">
        <v>2848</v>
      </c>
      <c r="N426" s="428"/>
      <c r="O426" s="3538">
        <f>'Part VI-Revenues &amp; Expenses'!$O$62</f>
        <v>123</v>
      </c>
      <c r="P426" s="3539"/>
      <c r="Q426" s="179"/>
    </row>
    <row r="427" spans="1:19" s="427" customFormat="1" ht="11.25" customHeight="1">
      <c r="A427" s="553"/>
      <c r="B427" s="3204"/>
      <c r="C427" s="3204"/>
      <c r="D427" s="3204"/>
      <c r="E427" s="3204"/>
      <c r="F427" s="3204"/>
      <c r="G427" s="3204"/>
      <c r="H427" s="3204"/>
      <c r="I427" s="3204"/>
      <c r="J427" s="3204"/>
      <c r="K427" s="3204"/>
      <c r="L427" s="3204"/>
      <c r="M427" s="550" t="s">
        <v>2849</v>
      </c>
      <c r="N427" s="428"/>
      <c r="O427" s="3536">
        <f>IF(O426=0,0,L414/O426)</f>
        <v>0</v>
      </c>
      <c r="P427" s="3537"/>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3461"/>
      <c r="B429" s="3462"/>
      <c r="C429" s="3462"/>
      <c r="D429" s="3462"/>
      <c r="E429" s="3462"/>
      <c r="F429" s="3462"/>
      <c r="G429" s="3462"/>
      <c r="H429" s="3462"/>
      <c r="I429" s="3462"/>
      <c r="J429" s="3462"/>
      <c r="K429" s="3462"/>
      <c r="L429" s="3462"/>
      <c r="M429" s="3462"/>
      <c r="N429" s="3462"/>
      <c r="O429" s="3462"/>
      <c r="P429" s="346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3165"/>
      <c r="B431" s="3166"/>
      <c r="C431" s="3166"/>
      <c r="D431" s="3166"/>
      <c r="E431" s="3166"/>
      <c r="F431" s="3166"/>
      <c r="G431" s="3166"/>
      <c r="H431" s="3166"/>
      <c r="I431" s="3166"/>
      <c r="J431" s="3166"/>
      <c r="K431" s="3166"/>
      <c r="L431" s="3166"/>
      <c r="M431" s="3166"/>
      <c r="N431" s="3166"/>
      <c r="O431" s="3166"/>
      <c r="P431" s="3167"/>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2256"/>
      <c r="P436" s="1251"/>
      <c r="Q436" s="112"/>
    </row>
    <row r="437" spans="1:18" s="105" customFormat="1" ht="10.5" customHeight="1">
      <c r="A437" s="159"/>
      <c r="B437" s="89" t="s">
        <v>3685</v>
      </c>
      <c r="D437" s="46"/>
      <c r="E437" s="46"/>
      <c r="F437" s="40"/>
      <c r="G437" s="37"/>
      <c r="I437" s="37"/>
      <c r="J437" s="37"/>
      <c r="K437" s="37"/>
      <c r="L437" s="391"/>
      <c r="M437" s="1584"/>
      <c r="N437" s="6"/>
      <c r="O437" s="2257"/>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3165"/>
      <c r="B439" s="3166"/>
      <c r="C439" s="3166"/>
      <c r="D439" s="3166"/>
      <c r="E439" s="3166"/>
      <c r="F439" s="3166"/>
      <c r="G439" s="3166"/>
      <c r="H439" s="3166"/>
      <c r="I439" s="3166"/>
      <c r="J439" s="3166"/>
      <c r="K439" s="3166"/>
      <c r="L439" s="3166"/>
      <c r="M439" s="3166"/>
      <c r="N439" s="3166"/>
      <c r="O439" s="3166"/>
      <c r="P439" s="3167"/>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52</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51" t="s">
        <v>3715</v>
      </c>
      <c r="B446" s="3451"/>
      <c r="C446" s="3451"/>
      <c r="D446" s="3451"/>
      <c r="E446" s="3451"/>
      <c r="F446" s="3451"/>
      <c r="G446" s="3451"/>
      <c r="H446" s="3451"/>
      <c r="I446" s="3451"/>
      <c r="J446" s="3451"/>
      <c r="K446" s="3451"/>
      <c r="L446" s="3451"/>
      <c r="M446" s="3451"/>
      <c r="N446" s="3451"/>
      <c r="O446" s="3451"/>
      <c r="P446" s="3451"/>
    </row>
    <row r="447" spans="1:18" s="44" customFormat="1" ht="349.5" customHeight="1">
      <c r="A447" s="3106" t="s">
        <v>4712</v>
      </c>
      <c r="B447" s="3107"/>
      <c r="C447" s="3107"/>
      <c r="D447" s="3107"/>
      <c r="E447" s="3107"/>
      <c r="F447" s="3107"/>
      <c r="G447" s="3107"/>
      <c r="H447" s="3107"/>
      <c r="I447" s="3107"/>
      <c r="J447" s="3107"/>
      <c r="K447" s="3107"/>
      <c r="L447" s="3107"/>
      <c r="M447" s="3107"/>
      <c r="N447" s="3107"/>
      <c r="O447" s="3107"/>
      <c r="P447" s="3108"/>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4662</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znKzdIiX7sNZB7O8tHCiflGhDwDmVwkxRDW5kRGZxoOpaNYgKBY1bOxXN3Twz5BG04BCjr0p3OHNw4R6pilMcQ==" saltValue="UcCgprOEVVcxYhrEpGCssg=="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Heritage Village at West Lake</v>
      </c>
    </row>
    <row r="3" spans="1:6" s="34" customFormat="1" ht="13.5" customHeight="1">
      <c r="A3" s="917" t="str">
        <f>CONCATENATE('Part I-Project Information'!$F$38,", ", 'Part I-Project Information'!$J$39," County")</f>
        <v>Atlanta, Fulton County</v>
      </c>
    </row>
    <row r="4" spans="1:6" ht="6.75" customHeight="1"/>
    <row r="5" spans="1:6" ht="113.25" customHeight="1">
      <c r="A5" s="2434" t="s">
        <v>4670</v>
      </c>
      <c r="B5" s="3606" t="s">
        <v>4257</v>
      </c>
      <c r="C5" s="3606"/>
      <c r="D5" s="3606"/>
      <c r="E5" s="3606"/>
      <c r="F5" s="3606"/>
    </row>
    <row r="6" spans="1:6" ht="6.6" customHeight="1">
      <c r="A6" s="2434"/>
      <c r="B6" s="3606"/>
      <c r="C6" s="3606"/>
      <c r="D6" s="3606"/>
      <c r="E6" s="3606"/>
      <c r="F6" s="3606"/>
    </row>
    <row r="7" spans="1:6" ht="134.25" customHeight="1">
      <c r="A7" s="2434"/>
      <c r="B7" s="3606"/>
      <c r="C7" s="3606"/>
      <c r="D7" s="3606"/>
      <c r="E7" s="3606"/>
      <c r="F7" s="3606"/>
    </row>
    <row r="8" spans="1:6" ht="6.6" customHeight="1">
      <c r="A8" s="2434"/>
    </row>
    <row r="9" spans="1:6" ht="111" customHeight="1">
      <c r="A9" s="2434"/>
    </row>
    <row r="10" spans="1:6" ht="6.6" customHeight="1">
      <c r="A10" s="2434"/>
    </row>
    <row r="11" spans="1:6" ht="111" customHeight="1">
      <c r="A11" s="2434"/>
    </row>
    <row r="12" spans="1:6" ht="6.6" customHeight="1">
      <c r="A12" s="2434"/>
    </row>
    <row r="13" spans="1:6" ht="111" customHeight="1">
      <c r="A13" s="2434"/>
    </row>
    <row r="14" spans="1:6" ht="6.6" customHeight="1">
      <c r="A14" s="2434"/>
    </row>
    <row r="15" spans="1:6" ht="111" customHeight="1">
      <c r="A15" s="2434"/>
    </row>
    <row r="16" spans="1:6" ht="6.6" customHeight="1">
      <c r="A16" s="2434"/>
    </row>
    <row r="17" spans="1:1" ht="111" customHeight="1">
      <c r="A17" s="2434"/>
    </row>
    <row r="18" spans="1:1" ht="6.6" customHeight="1">
      <c r="A18" s="2434"/>
    </row>
    <row r="19" spans="1:1" ht="105.75" customHeight="1">
      <c r="A19" s="2434"/>
    </row>
    <row r="20" spans="1:1" ht="6.6" customHeight="1">
      <c r="A20" s="2434"/>
    </row>
    <row r="21" spans="1:1" ht="105.75" customHeight="1">
      <c r="A21" s="2434"/>
    </row>
    <row r="22" spans="1:1" ht="6.6" customHeight="1">
      <c r="A22" s="2434"/>
    </row>
    <row r="23" spans="1:1" ht="105.75" customHeight="1">
      <c r="A23" s="2434"/>
    </row>
    <row r="24" spans="1:1" ht="6.6" customHeight="1">
      <c r="A24" s="916"/>
    </row>
  </sheetData>
  <sheetProtection algorithmName="SHA-512" hashValue="D+EZYstdEHjJj7BVZBD6VRN02ZX+X3i5i97q7vRQbsYtITXQ/JjbXDiFfubiAQZKKqIdqoiP4aiqVefd4vSU9g==" saltValue="eZXKXxypQXo69pvNWxkcfQ==" spinCount="100000" sheet="1" objects="1" scenarios="1" formatRows="0"/>
  <mergeCells count="2">
    <mergeCell ref="A5:A23"/>
    <mergeCell ref="B5:F7"/>
  </mergeCells>
  <printOptions horizontalCentered="1"/>
  <pageMargins left="0.7" right="0.7" top="0.5" bottom="0.5" header="0.3" footer="0.3"/>
  <pageSetup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15349522</v>
      </c>
    </row>
    <row r="5" spans="1:7">
      <c r="A5" s="1373" t="s">
        <v>4290</v>
      </c>
      <c r="B5" s="1374">
        <f>+B18+B26+B38</f>
        <v>2000000</v>
      </c>
    </row>
    <row r="6" spans="1:7">
      <c r="A6" s="1373" t="s">
        <v>4260</v>
      </c>
      <c r="B6" s="1375">
        <f>+B5-B4</f>
        <v>-13349522</v>
      </c>
    </row>
    <row r="7" spans="1:7">
      <c r="A7" s="1373" t="s">
        <v>4261</v>
      </c>
      <c r="B7" s="1376">
        <f>+B6/B4</f>
        <v>-0.86970278292705139</v>
      </c>
    </row>
    <row r="8" spans="1:7" ht="9" customHeight="1"/>
    <row r="9" spans="1:7">
      <c r="A9" s="1373" t="s">
        <v>4262</v>
      </c>
      <c r="B9" s="1374">
        <f>+B18+B26+B33</f>
        <v>2000000</v>
      </c>
    </row>
    <row r="10" spans="1:7">
      <c r="A10" s="1373" t="s">
        <v>4260</v>
      </c>
      <c r="B10" s="1375">
        <f>+B9-B4</f>
        <v>-13349522</v>
      </c>
    </row>
    <row r="11" spans="1:7">
      <c r="A11" s="1373" t="s">
        <v>4261</v>
      </c>
      <c r="B11" s="1376">
        <f>+B10/B4</f>
        <v>-0.86970278292705139</v>
      </c>
    </row>
    <row r="12" spans="1:7" ht="24" customHeight="1"/>
    <row r="13" spans="1:7">
      <c r="A13" s="1372" t="s">
        <v>4263</v>
      </c>
      <c r="D13" s="1445" t="s">
        <v>4530</v>
      </c>
      <c r="E13" s="1446"/>
    </row>
    <row r="14" spans="1:7">
      <c r="A14" s="1373" t="s">
        <v>4264</v>
      </c>
      <c r="B14" s="1377">
        <f>+SUM('Part III-Sources of Funds'!L49:M50)</f>
        <v>13348000</v>
      </c>
      <c r="D14" s="1446"/>
      <c r="E14" s="1446"/>
    </row>
    <row r="15" spans="1:7">
      <c r="A15" s="1373" t="s">
        <v>4265</v>
      </c>
      <c r="B15" s="1378">
        <f>+'Part IV-A-Uses of Funds'!J167</f>
        <v>1334952.2</v>
      </c>
      <c r="D15" s="1446" t="s">
        <v>2061</v>
      </c>
      <c r="G15" s="1447">
        <f>'Part IV-A-Uses of Funds'!J155</f>
        <v>0</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0</v>
      </c>
    </row>
    <row r="20" spans="1:7">
      <c r="A20" s="1373" t="s">
        <v>4268</v>
      </c>
      <c r="B20" s="1377">
        <f>+B18-B14</f>
        <v>-13348000</v>
      </c>
      <c r="D20" s="1446" t="s">
        <v>4535</v>
      </c>
      <c r="G20" s="1449">
        <f>+B14-G19</f>
        <v>13348000</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2000000</v>
      </c>
    </row>
    <row r="25" spans="1:7">
      <c r="A25" s="1373" t="s">
        <v>4272</v>
      </c>
      <c r="B25" s="1381" t="str">
        <f>IF('Part III-Sources of Funds'!B11="Yes","N/A",MAX(B46:P46))</f>
        <v>N/A</v>
      </c>
    </row>
    <row r="26" spans="1:7">
      <c r="A26" s="1373" t="s">
        <v>4273</v>
      </c>
      <c r="B26" s="1371">
        <f>IFERROR(PV('Part III-Sources of Funds'!K37,'Part III-Sources of Funds'!L37,B25+B45),B24)</f>
        <v>2000000</v>
      </c>
    </row>
    <row r="27" spans="1:7" ht="9" customHeight="1">
      <c r="B27" s="1371"/>
    </row>
    <row r="28" spans="1:7">
      <c r="A28" s="1373" t="s">
        <v>4274</v>
      </c>
      <c r="B28" s="1382">
        <f>+B26-B24</f>
        <v>0</v>
      </c>
      <c r="C28" s="1383"/>
    </row>
    <row r="29" spans="1:7">
      <c r="A29" s="1373" t="s">
        <v>4269</v>
      </c>
      <c r="B29" s="1384">
        <f>+B28/B24</f>
        <v>0</v>
      </c>
    </row>
    <row r="30" spans="1:7" ht="24" customHeight="1"/>
    <row r="31" spans="1:7">
      <c r="A31" s="1372" t="s">
        <v>4129</v>
      </c>
    </row>
    <row r="32" spans="1:7">
      <c r="A32" s="1373" t="s">
        <v>4275</v>
      </c>
      <c r="B32" s="1385">
        <f>+'Part III-Sources of Funds'!I42</f>
        <v>1522</v>
      </c>
    </row>
    <row r="33" spans="1:11">
      <c r="A33" s="1373" t="s">
        <v>4276</v>
      </c>
      <c r="B33" s="1371"/>
    </row>
    <row r="34" spans="1:11" ht="9" customHeight="1">
      <c r="B34" s="1371"/>
    </row>
    <row r="35" spans="1:11">
      <c r="A35" s="1373" t="s">
        <v>4277</v>
      </c>
      <c r="B35" s="1385">
        <f>+B33-B32</f>
        <v>-1522</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207042.24347999995</v>
      </c>
      <c r="C44" s="1374">
        <f>+'Part VII-Pro Forma'!C22</f>
        <v>205659.06834959984</v>
      </c>
      <c r="D44" s="1374">
        <f>+'Part VII-Pro Forma'!D22</f>
        <v>204081.87171659188</v>
      </c>
      <c r="E44" s="1374">
        <f>+'Part VII-Pro Forma'!E22</f>
        <v>202302.2010109236</v>
      </c>
      <c r="F44" s="1374">
        <f>+'Part VII-Pro Forma'!F22</f>
        <v>200311.28544694238</v>
      </c>
      <c r="G44" s="1374">
        <f>+'Part VII-Pro Forma'!G22</f>
        <v>198099.02518415535</v>
      </c>
      <c r="H44" s="1374">
        <f>+'Part VII-Pro Forma'!H22</f>
        <v>195656.98013696051</v>
      </c>
      <c r="I44" s="1374">
        <f>+'Part VII-Pro Forma'!I22</f>
        <v>192973.35842229534</v>
      </c>
      <c r="J44" s="1374">
        <f>+'Part VII-Pro Forma'!J22</f>
        <v>190038.00443381525</v>
      </c>
      <c r="K44" s="1374">
        <f>+'Part VII-Pro Forma'!K22</f>
        <v>186840.38653085742</v>
      </c>
    </row>
    <row r="45" spans="1:11">
      <c r="A45" s="1373" t="s">
        <v>4281</v>
      </c>
      <c r="B45" s="1374">
        <f>SUM('Part VII-Pro Forma'!B23:B26)</f>
        <v>-110374.6336698712</v>
      </c>
      <c r="C45" s="1374">
        <f>SUM('Part VII-Pro Forma'!C23:C26)</f>
        <v>-110374.6336698712</v>
      </c>
      <c r="D45" s="1374">
        <f>SUM('Part VII-Pro Forma'!D23:D26)</f>
        <v>-110374.6336698712</v>
      </c>
      <c r="E45" s="1374">
        <f>SUM('Part VII-Pro Forma'!E23:E26)</f>
        <v>-110374.6336698712</v>
      </c>
      <c r="F45" s="1374">
        <f>SUM('Part VII-Pro Forma'!F23:F26)</f>
        <v>-110374.6336698712</v>
      </c>
      <c r="G45" s="1374">
        <f>SUM('Part VII-Pro Forma'!G23:G26)</f>
        <v>-110374.6336698712</v>
      </c>
      <c r="H45" s="1374">
        <f>SUM('Part VII-Pro Forma'!H23:H26)</f>
        <v>-110374.6336698712</v>
      </c>
      <c r="I45" s="1374">
        <f>SUM('Part VII-Pro Forma'!I23:I26)</f>
        <v>-110374.6336698712</v>
      </c>
      <c r="J45" s="1374">
        <f>SUM('Part VII-Pro Forma'!J23:J26)</f>
        <v>-110374.6336698712</v>
      </c>
      <c r="K45" s="1374">
        <f>SUM('Part VII-Pro Forma'!K23:K26)</f>
        <v>-110374.6336698712</v>
      </c>
    </row>
    <row r="46" spans="1:11">
      <c r="A46" s="1373" t="s">
        <v>4282</v>
      </c>
      <c r="B46" s="1375">
        <f t="shared" ref="B46:K46" si="0">-B44/B48-B45</f>
        <v>-62160.569230128778</v>
      </c>
      <c r="C46" s="1375">
        <f t="shared" si="0"/>
        <v>-61007.923288128688</v>
      </c>
      <c r="D46" s="1375">
        <f t="shared" si="0"/>
        <v>-59693.592760622036</v>
      </c>
      <c r="E46" s="1375">
        <f t="shared" si="0"/>
        <v>-58210.533839231823</v>
      </c>
      <c r="F46" s="1375">
        <f t="shared" si="0"/>
        <v>-56551.437535914127</v>
      </c>
      <c r="G46" s="1375">
        <f t="shared" si="0"/>
        <v>-54707.887316924927</v>
      </c>
      <c r="H46" s="1375">
        <f t="shared" si="0"/>
        <v>-52672.849777595897</v>
      </c>
      <c r="I46" s="1375">
        <f t="shared" si="0"/>
        <v>-50436.498348708265</v>
      </c>
      <c r="J46" s="1375">
        <f t="shared" si="0"/>
        <v>-47990.370024974865</v>
      </c>
      <c r="K46" s="1375">
        <f t="shared" si="0"/>
        <v>-45325.688439176651</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207042.24347999995</v>
      </c>
      <c r="C51" s="1375">
        <f t="shared" ref="C51:K51" si="2">+C44</f>
        <v>205659.06834959984</v>
      </c>
      <c r="D51" s="1375">
        <f t="shared" si="2"/>
        <v>204081.87171659188</v>
      </c>
      <c r="E51" s="1375">
        <f t="shared" si="2"/>
        <v>202302.2010109236</v>
      </c>
      <c r="F51" s="1375">
        <f t="shared" si="2"/>
        <v>200311.28544694238</v>
      </c>
      <c r="G51" s="1375">
        <f t="shared" si="2"/>
        <v>198099.02518415535</v>
      </c>
      <c r="H51" s="1375">
        <f t="shared" si="2"/>
        <v>195656.98013696051</v>
      </c>
      <c r="I51" s="1375">
        <f t="shared" si="2"/>
        <v>192973.35842229534</v>
      </c>
      <c r="J51" s="1375">
        <f t="shared" si="2"/>
        <v>190038.00443381525</v>
      </c>
      <c r="K51" s="1375">
        <f t="shared" si="2"/>
        <v>186840.38653085742</v>
      </c>
    </row>
    <row r="52" spans="1:17">
      <c r="A52" s="1373" t="s">
        <v>4284</v>
      </c>
      <c r="B52" s="1375">
        <f>IF($B$25="N/A",B45,B45+$B$25)</f>
        <v>-110374.6336698712</v>
      </c>
      <c r="C52" s="1375">
        <f t="shared" ref="C52:K52" si="3">IF($B$25="N/A",C45,C45+$B$25)</f>
        <v>-110374.6336698712</v>
      </c>
      <c r="D52" s="1375">
        <f t="shared" si="3"/>
        <v>-110374.6336698712</v>
      </c>
      <c r="E52" s="1375">
        <f t="shared" si="3"/>
        <v>-110374.6336698712</v>
      </c>
      <c r="F52" s="1375">
        <f t="shared" si="3"/>
        <v>-110374.6336698712</v>
      </c>
      <c r="G52" s="1375">
        <f t="shared" si="3"/>
        <v>-110374.6336698712</v>
      </c>
      <c r="H52" s="1375">
        <f t="shared" si="3"/>
        <v>-110374.6336698712</v>
      </c>
      <c r="I52" s="1375">
        <f t="shared" si="3"/>
        <v>-110374.6336698712</v>
      </c>
      <c r="J52" s="1375">
        <f t="shared" si="3"/>
        <v>-110374.6336698712</v>
      </c>
      <c r="K52" s="1375">
        <f t="shared" si="3"/>
        <v>-110374.6336698712</v>
      </c>
    </row>
    <row r="53" spans="1:17">
      <c r="A53" s="1373" t="s">
        <v>4285</v>
      </c>
      <c r="B53" s="1374">
        <f>+'Part VII-Pro Forma'!B28</f>
        <v>-8250</v>
      </c>
      <c r="C53" s="1374">
        <f>+'Part VII-Pro Forma'!C28</f>
        <v>-8475</v>
      </c>
      <c r="D53" s="1374">
        <f>+'Part VII-Pro Forma'!D28</f>
        <v>-8706.75</v>
      </c>
      <c r="E53" s="1374">
        <f>+'Part VII-Pro Forma'!E28</f>
        <v>-8945.4524999999994</v>
      </c>
      <c r="F53" s="1374">
        <f>+'Part VII-Pro Forma'!F28</f>
        <v>-9191.3160750000006</v>
      </c>
      <c r="G53" s="1374">
        <f>+'Part VII-Pro Forma'!G28</f>
        <v>-9444.5555572499998</v>
      </c>
      <c r="H53" s="1374">
        <f>+'Part VII-Pro Forma'!H28</f>
        <v>-9705.3922239674994</v>
      </c>
      <c r="I53" s="1374">
        <f>+'Part VII-Pro Forma'!I28</f>
        <v>-9974.0539906865306</v>
      </c>
      <c r="J53" s="1374">
        <f>+'Part VII-Pro Forma'!J28</f>
        <v>-10250.77561040712</v>
      </c>
      <c r="K53" s="1374">
        <f>+'Part VII-Pro Forma'!K28</f>
        <v>-10535.798878719341</v>
      </c>
    </row>
    <row r="54" spans="1:17">
      <c r="A54" s="1373" t="s">
        <v>4286</v>
      </c>
      <c r="B54" s="1375">
        <f>+SUM(B51:B53)</f>
        <v>88417.60981012875</v>
      </c>
      <c r="C54" s="1375">
        <f t="shared" ref="C54:K54" si="4">+SUM(C51:C53)</f>
        <v>86809.434679728642</v>
      </c>
      <c r="D54" s="1375">
        <f t="shared" si="4"/>
        <v>85000.488046720682</v>
      </c>
      <c r="E54" s="1375">
        <f t="shared" si="4"/>
        <v>82982.114841052404</v>
      </c>
      <c r="F54" s="1375">
        <f t="shared" si="4"/>
        <v>80745.335702071185</v>
      </c>
      <c r="G54" s="1375">
        <f t="shared" si="4"/>
        <v>78279.835957034156</v>
      </c>
      <c r="H54" s="1375">
        <f t="shared" si="4"/>
        <v>75576.954243121814</v>
      </c>
      <c r="I54" s="1375">
        <f t="shared" si="4"/>
        <v>72624.670761737609</v>
      </c>
      <c r="J54" s="1375">
        <f t="shared" si="4"/>
        <v>69412.595153536939</v>
      </c>
      <c r="K54" s="1375">
        <f t="shared" si="4"/>
        <v>65929.953982266874</v>
      </c>
    </row>
    <row r="55" spans="1:17">
      <c r="A55" s="1373" t="s">
        <v>4129</v>
      </c>
      <c r="B55" s="1375">
        <f>-B54</f>
        <v>-88417.60981012875</v>
      </c>
      <c r="C55" s="1375">
        <f t="shared" ref="C55:K55" si="5">-C54</f>
        <v>-86809.434679728642</v>
      </c>
      <c r="D55" s="1375">
        <f t="shared" si="5"/>
        <v>-85000.488046720682</v>
      </c>
      <c r="E55" s="1375">
        <f t="shared" si="5"/>
        <v>-82982.114841052404</v>
      </c>
      <c r="F55" s="1375">
        <f t="shared" si="5"/>
        <v>-80745.335702071185</v>
      </c>
      <c r="G55" s="1375">
        <f t="shared" si="5"/>
        <v>-78279.835957034156</v>
      </c>
      <c r="H55" s="1375">
        <f t="shared" si="5"/>
        <v>-75576.954243121814</v>
      </c>
      <c r="I55" s="1375">
        <f t="shared" si="5"/>
        <v>-72624.670761737609</v>
      </c>
      <c r="J55" s="1375">
        <f t="shared" si="5"/>
        <v>-69412.595153536939</v>
      </c>
      <c r="K55" s="1375">
        <f t="shared" si="5"/>
        <v>-65929.953982266874</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1909209.99649592</v>
      </c>
      <c r="C58" s="1374">
        <f>IF($B$26="","",-FV('Part III-Sources of Funds'!$K$37/12,12,C52/12,B58))</f>
        <v>1817507.9201676911</v>
      </c>
      <c r="D58" s="1374">
        <f>IF($B$26="","",-FV('Part III-Sources of Funds'!$K$37/12,12,D52/12,C58))</f>
        <v>1724884.6083673956</v>
      </c>
      <c r="E58" s="1374">
        <f>IF($B$26="","",-FV('Part III-Sources of Funds'!$K$37/12,12,E52/12,D58))</f>
        <v>1631330.8063995133</v>
      </c>
      <c r="F58" s="1374">
        <f>IF($B$26="","",-FV('Part III-Sources of Funds'!$K$37/12,12,F52/12,E58))</f>
        <v>1536837.1665962145</v>
      </c>
      <c r="G58" s="1374">
        <f>IF($B$26="","",-FV('Part III-Sources of Funds'!$K$37/12,12,G52/12,F58))</f>
        <v>1441394.2473833645</v>
      </c>
      <c r="H58" s="1374">
        <f>IF($B$26="","",-FV('Part III-Sources of Funds'!$K$37/12,12,H52/12,G58))</f>
        <v>1344992.5123371438</v>
      </c>
      <c r="I58" s="1374">
        <f>IF($B$26="","",-FV('Part III-Sources of Funds'!$K$37/12,12,I52/12,H58))</f>
        <v>1247622.3292311924</v>
      </c>
      <c r="J58" s="1374">
        <f>IF($B$26="","",-FV('Part III-Sources of Funds'!$K$37/12,12,J52/12,I58))</f>
        <v>1149273.969074181</v>
      </c>
      <c r="K58" s="1374">
        <f>IF($B$26="","",-FV('Part III-Sources of Funds'!$K$37/12,12,K52/12,J58))</f>
        <v>1049937.605137714</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183369.58433009181</v>
      </c>
      <c r="C64" s="1374">
        <f>+'Part VII-Pro Forma'!C52</f>
        <v>179612.2755873687</v>
      </c>
      <c r="D64" s="1374">
        <f>+'Part VII-Pro Forma'!D52</f>
        <v>175556.72265691214</v>
      </c>
      <c r="E64" s="1374">
        <f>+'Part VII-Pro Forma'!E52</f>
        <v>171190.75851457979</v>
      </c>
      <c r="F64" s="1374">
        <f>+'Part VII-Pro Forma'!F52</f>
        <v>166501.77233153698</v>
      </c>
      <c r="G64" s="1374">
        <f>+'Part VII-Pro Forma'!G52</f>
        <v>161475.69458423287</v>
      </c>
      <c r="H64" s="1374">
        <f>+'Part VII-Pro Forma'!H52</f>
        <v>156097.98168616509</v>
      </c>
      <c r="I64" s="1374">
        <f>+'Part VII-Pro Forma'!I52</f>
        <v>150354.60012644363</v>
      </c>
      <c r="J64" s="1374">
        <f>+'Part VII-Pro Forma'!J52</f>
        <v>144230.01009972361</v>
      </c>
      <c r="K64" s="1374">
        <f>+'Part VII-Pro Forma'!K52</f>
        <v>137709.14861159219</v>
      </c>
    </row>
    <row r="65" spans="1:11">
      <c r="A65" s="1373" t="s">
        <v>4281</v>
      </c>
      <c r="B65" s="1374">
        <f>SUM('Part VII-Pro Forma'!B53:B56)</f>
        <v>-110374.6336698712</v>
      </c>
      <c r="C65" s="1374">
        <f>SUM('Part VII-Pro Forma'!C53:C56)</f>
        <v>-110374.6336698712</v>
      </c>
      <c r="D65" s="1374">
        <f>SUM('Part VII-Pro Forma'!D53:D56)</f>
        <v>-110374.6336698712</v>
      </c>
      <c r="E65" s="1374">
        <f>SUM('Part VII-Pro Forma'!E53:E56)</f>
        <v>-110374.6336698712</v>
      </c>
      <c r="F65" s="1374">
        <f>SUM('Part VII-Pro Forma'!F53:F56)</f>
        <v>-110374.6336698712</v>
      </c>
      <c r="G65" s="1374">
        <f>SUM('Part VII-Pro Forma'!G53:G56)</f>
        <v>-110374.6336698712</v>
      </c>
      <c r="H65" s="1374">
        <f>SUM('Part VII-Pro Forma'!H53:H56)</f>
        <v>-110374.6336698712</v>
      </c>
      <c r="I65" s="1374">
        <f>SUM('Part VII-Pro Forma'!I53:I56)</f>
        <v>-110374.6336698712</v>
      </c>
      <c r="J65" s="1374">
        <f>SUM('Part VII-Pro Forma'!J53:J56)</f>
        <v>-110374.6336698712</v>
      </c>
      <c r="K65" s="1374">
        <f>SUM('Part VII-Pro Forma'!K53:K56)</f>
        <v>-110374.6336698712</v>
      </c>
    </row>
    <row r="66" spans="1:11">
      <c r="A66" s="1373" t="s">
        <v>4282</v>
      </c>
      <c r="B66" s="1375">
        <f t="shared" ref="B66:K66" si="7">-B64/B68-B65</f>
        <v>-42433.35327187198</v>
      </c>
      <c r="C66" s="1375">
        <f t="shared" si="7"/>
        <v>-39302.262652936071</v>
      </c>
      <c r="D66" s="1375">
        <f t="shared" si="7"/>
        <v>-35922.635210888926</v>
      </c>
      <c r="E66" s="1375">
        <f t="shared" si="7"/>
        <v>-32284.331758945307</v>
      </c>
      <c r="F66" s="1375">
        <f t="shared" si="7"/>
        <v>-28376.843273076287</v>
      </c>
      <c r="G66" s="1375">
        <f t="shared" si="7"/>
        <v>-24188.445150322863</v>
      </c>
      <c r="H66" s="1375">
        <f t="shared" si="7"/>
        <v>-19707.017735266389</v>
      </c>
      <c r="I66" s="1375">
        <f t="shared" si="7"/>
        <v>-14920.866435498509</v>
      </c>
      <c r="J66" s="1375">
        <f t="shared" si="7"/>
        <v>-9817.0414132318256</v>
      </c>
      <c r="K66" s="1375">
        <f t="shared" si="7"/>
        <v>-4382.9901731222926</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183369.58433009181</v>
      </c>
      <c r="C71" s="1375">
        <f t="shared" si="9"/>
        <v>179612.2755873687</v>
      </c>
      <c r="D71" s="1375">
        <f t="shared" si="9"/>
        <v>175556.72265691214</v>
      </c>
      <c r="E71" s="1375">
        <f t="shared" si="9"/>
        <v>171190.75851457979</v>
      </c>
      <c r="F71" s="1375">
        <f t="shared" si="9"/>
        <v>166501.77233153698</v>
      </c>
      <c r="G71" s="1375">
        <f t="shared" si="9"/>
        <v>161475.69458423287</v>
      </c>
      <c r="H71" s="1375">
        <f>+H64</f>
        <v>156097.98168616509</v>
      </c>
      <c r="I71" s="1375">
        <f>+I64</f>
        <v>150354.60012644363</v>
      </c>
      <c r="J71" s="1375">
        <f>+J64</f>
        <v>144230.01009972361</v>
      </c>
      <c r="K71" s="1375">
        <f>+K64</f>
        <v>137709.14861159219</v>
      </c>
    </row>
    <row r="72" spans="1:11">
      <c r="A72" s="1373" t="s">
        <v>4284</v>
      </c>
      <c r="B72" s="1375">
        <f t="shared" ref="B72:G72" si="10">IF($B$25="N/A",B65,B65+$B$25)</f>
        <v>-110374.6336698712</v>
      </c>
      <c r="C72" s="1375">
        <f t="shared" si="10"/>
        <v>-110374.6336698712</v>
      </c>
      <c r="D72" s="1375">
        <f t="shared" si="10"/>
        <v>-110374.6336698712</v>
      </c>
      <c r="E72" s="1375">
        <f t="shared" si="10"/>
        <v>-110374.6336698712</v>
      </c>
      <c r="F72" s="1375">
        <f t="shared" si="10"/>
        <v>-110374.6336698712</v>
      </c>
      <c r="G72" s="1375">
        <f t="shared" si="10"/>
        <v>-110374.6336698712</v>
      </c>
      <c r="H72" s="1375">
        <f>IF($B$25="N/A",H65,H65+$B$25)</f>
        <v>-110374.6336698712</v>
      </c>
      <c r="I72" s="1375">
        <f>IF($B$25="N/A",I65,I65+$B$25)</f>
        <v>-110374.6336698712</v>
      </c>
      <c r="J72" s="1375">
        <f>IF($B$25="N/A",J65,J65+$B$25)</f>
        <v>-110374.6336698712</v>
      </c>
      <c r="K72" s="1375">
        <f>IF($B$25="N/A",K65,K65+$B$25)</f>
        <v>-110374.6336698712</v>
      </c>
    </row>
    <row r="73" spans="1:11">
      <c r="A73" s="1373" t="s">
        <v>4285</v>
      </c>
      <c r="B73" s="1374">
        <f>+'Part VII-Pro Forma'!B58</f>
        <v>-10829.372845080899</v>
      </c>
      <c r="C73" s="1374">
        <f>+'Part VII-Pro Forma'!C58</f>
        <v>-11131.7540304333</v>
      </c>
      <c r="D73" s="1374">
        <f>+'Part VII-Pro Forma'!D58</f>
        <v>-11443.2066513463</v>
      </c>
      <c r="E73" s="1374">
        <f>+'Part VII-Pro Forma'!E58</f>
        <v>-11764.0028508867</v>
      </c>
      <c r="F73" s="1374">
        <f>+'Part VII-Pro Forma'!F58</f>
        <v>-12094.422936413301</v>
      </c>
      <c r="G73" s="1374">
        <f>+'Part VII-Pro Forma'!G58</f>
        <v>-750</v>
      </c>
      <c r="H73" s="1374">
        <f>+'Part VII-Pro Forma'!H58</f>
        <v>-750</v>
      </c>
      <c r="I73" s="1374">
        <f>+'Part VII-Pro Forma'!I58</f>
        <v>-750</v>
      </c>
      <c r="J73" s="1374">
        <f>+'Part VII-Pro Forma'!J58</f>
        <v>-750</v>
      </c>
      <c r="K73" s="1374">
        <f>+'Part VII-Pro Forma'!K58</f>
        <v>-750</v>
      </c>
    </row>
    <row r="74" spans="1:11">
      <c r="A74" s="1373" t="s">
        <v>4286</v>
      </c>
      <c r="B74" s="1375">
        <f t="shared" ref="B74:G74" si="11">+SUM(B71:B73)</f>
        <v>62165.57781513971</v>
      </c>
      <c r="C74" s="1375">
        <f t="shared" si="11"/>
        <v>58105.8878870642</v>
      </c>
      <c r="D74" s="1375">
        <f t="shared" si="11"/>
        <v>53738.882335694645</v>
      </c>
      <c r="E74" s="1375">
        <f t="shared" si="11"/>
        <v>49052.1219938219</v>
      </c>
      <c r="F74" s="1375">
        <f t="shared" si="11"/>
        <v>44032.715725252485</v>
      </c>
      <c r="G74" s="1375">
        <f t="shared" si="11"/>
        <v>50351.060914361675</v>
      </c>
      <c r="H74" s="1375">
        <f>+SUM(H71:H73)</f>
        <v>44973.348016293894</v>
      </c>
      <c r="I74" s="1375">
        <f>+SUM(I71:I73)</f>
        <v>39229.966456572438</v>
      </c>
      <c r="J74" s="1375">
        <f>+SUM(J71:J73)</f>
        <v>33105.376429852418</v>
      </c>
      <c r="K74" s="1375">
        <f>+SUM(K71:K73)</f>
        <v>26584.51494172099</v>
      </c>
    </row>
    <row r="75" spans="1:11">
      <c r="A75" s="1373" t="s">
        <v>4129</v>
      </c>
      <c r="B75" s="1375">
        <f t="shared" ref="B75:G75" si="12">-B74</f>
        <v>-62165.57781513971</v>
      </c>
      <c r="C75" s="1375">
        <f t="shared" si="12"/>
        <v>-58105.8878870642</v>
      </c>
      <c r="D75" s="1375">
        <f t="shared" si="12"/>
        <v>-53738.882335694645</v>
      </c>
      <c r="E75" s="1375">
        <f t="shared" si="12"/>
        <v>-49052.1219938219</v>
      </c>
      <c r="F75" s="1375">
        <f t="shared" si="12"/>
        <v>-44032.715725252485</v>
      </c>
      <c r="G75" s="1375">
        <f t="shared" si="12"/>
        <v>-50351.060914361675</v>
      </c>
      <c r="H75" s="1375">
        <f>-H74</f>
        <v>-44973.348016293894</v>
      </c>
      <c r="I75" s="1375">
        <f>-I74</f>
        <v>-39229.966456572438</v>
      </c>
      <c r="J75" s="1375">
        <f>-J74</f>
        <v>-33105.376429852418</v>
      </c>
      <c r="K75" s="1375">
        <f>-K74</f>
        <v>-26584.51494172099</v>
      </c>
    </row>
    <row r="76" spans="1:11">
      <c r="A76" s="1373" t="s">
        <v>4287</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4288</v>
      </c>
      <c r="B78" s="1374">
        <f>IF($B$26="","",-FV('Part III-Sources of Funds'!$K$37/12,12,B72/12,K58))</f>
        <v>949603.31197446631</v>
      </c>
      <c r="C78" s="1374">
        <f>IF($B$26="","",-FV('Part III-Sources of Funds'!$K$37/12,12,C72/12,B78))</f>
        <v>848261.06442645798</v>
      </c>
      <c r="D78" s="1374">
        <f>IF($B$26="","",-FV('Part III-Sources of Funds'!$K$37/12,12,D72/12,C78))</f>
        <v>745900.73662336334</v>
      </c>
      <c r="E78" s="1374">
        <f>IF($B$26="","",-FV('Part III-Sources of Funds'!$K$37/12,12,E72/12,D78))</f>
        <v>642512.10097075976</v>
      </c>
      <c r="F78" s="1374">
        <f>IF($B$26="","",-FV('Part III-Sources of Funds'!$K$37/12,12,F72/12,E78))</f>
        <v>538084.82712821127</v>
      </c>
      <c r="G78" s="1374">
        <f>IF($B$26="","",-FV('Part III-Sources of Funds'!$K$37/12,12,G72/12,F78))</f>
        <v>432608.48097708559</v>
      </c>
      <c r="H78" s="1374">
        <f>IF($B$26="","",-FV('Part III-Sources of Funds'!$K$37/12,12,H72/12,G78))</f>
        <v>326072.52357800299</v>
      </c>
      <c r="I78" s="1374">
        <f>IF($B$26="","",-FV('Part III-Sources of Funds'!$K$37/12,12,I72/12,H78))</f>
        <v>218466.31011781091</v>
      </c>
      <c r="J78" s="1374">
        <f>IF($B$26="","",-FV('Part III-Sources of Funds'!$K$37/12,12,J72/12,I78))</f>
        <v>109779.08884598009</v>
      </c>
      <c r="K78" s="1374">
        <f>IF($B$26="","",-FV('Part III-Sources of Funds'!$K$37/12,12,K72/12,J78))</f>
        <v>3.1614035833626986E-7</v>
      </c>
    </row>
    <row r="79" spans="1:11">
      <c r="A79" s="1373" t="s">
        <v>4130</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8" t="s">
        <v>2935</v>
      </c>
      <c r="B1" s="3608"/>
      <c r="C1" s="3608"/>
      <c r="D1" s="3608"/>
      <c r="E1" s="3608"/>
      <c r="F1" s="3608"/>
      <c r="G1" s="3608"/>
      <c r="H1" s="3608"/>
      <c r="I1" s="3608"/>
      <c r="J1" s="3608"/>
    </row>
    <row r="2" spans="1:11" ht="15.75">
      <c r="A2" s="3608" t="str">
        <f>Overview!C8</f>
        <v>Heritage Village at West Lake</v>
      </c>
      <c r="B2" s="3608"/>
      <c r="C2" s="3608"/>
      <c r="D2" s="3608"/>
      <c r="E2" s="3608"/>
      <c r="F2" s="3608"/>
      <c r="G2" s="3608"/>
      <c r="H2" s="3608"/>
      <c r="I2" s="3608"/>
      <c r="J2" s="3608"/>
    </row>
    <row r="3" spans="1:11" ht="15.75">
      <c r="A3" s="3608" t="str">
        <f>'Subsidy Layering Memo'!F14</f>
        <v>Atlanta, Fulton</v>
      </c>
      <c r="B3" s="3608"/>
      <c r="C3" s="3608"/>
      <c r="D3" s="3608"/>
      <c r="E3" s="3608"/>
      <c r="F3" s="3608"/>
      <c r="G3" s="3608"/>
      <c r="H3" s="3608"/>
      <c r="I3" s="3608"/>
      <c r="J3" s="3608"/>
    </row>
    <row r="4" spans="1:11" ht="15.75">
      <c r="A4" s="3609" t="s">
        <v>2936</v>
      </c>
      <c r="B4" s="3608"/>
      <c r="C4" s="3608"/>
      <c r="D4" s="3608"/>
      <c r="E4" s="3608"/>
      <c r="F4" s="3608"/>
      <c r="G4" s="3608"/>
      <c r="H4" s="3608"/>
      <c r="I4" s="3608"/>
      <c r="J4" s="3608"/>
    </row>
    <row r="5" spans="1:11" ht="5.25" customHeight="1"/>
    <row r="6" spans="1:11" ht="5.25" customHeight="1"/>
    <row r="7" spans="1:11" ht="15.75">
      <c r="A7" s="3610" t="s">
        <v>2937</v>
      </c>
      <c r="B7" s="3610"/>
      <c r="C7" s="3611"/>
    </row>
    <row r="8" spans="1:11" ht="102.75" customHeight="1">
      <c r="A8" s="3607" t="s">
        <v>4291</v>
      </c>
      <c r="B8" s="3607"/>
      <c r="C8" s="3607"/>
      <c r="D8" s="3607"/>
      <c r="E8" s="3607"/>
      <c r="F8" s="3607"/>
      <c r="G8" s="3607"/>
      <c r="H8" s="3607"/>
      <c r="I8" s="3607"/>
      <c r="J8" s="3607"/>
      <c r="K8" s="687"/>
    </row>
    <row r="9" spans="1:11" ht="15.75">
      <c r="A9" s="688" t="s">
        <v>2938</v>
      </c>
    </row>
    <row r="10" spans="1:11" ht="21.75" customHeight="1">
      <c r="A10" s="3607" t="str">
        <f>'Subsidy Layering Memo'!A44</f>
        <v xml:space="preserve">Ownership entity:  (NAME) LP, a Georgia Limited Partnership, will be the ownership entity for the proposed project. </v>
      </c>
      <c r="B10" s="3613"/>
      <c r="C10" s="3613"/>
      <c r="D10" s="3613"/>
      <c r="E10" s="3613"/>
      <c r="F10" s="3613"/>
      <c r="G10" s="3613"/>
      <c r="H10" s="3613"/>
      <c r="I10" s="3613"/>
      <c r="J10" s="3607"/>
    </row>
    <row r="11" spans="1:11" ht="63.75" customHeight="1">
      <c r="A11" s="3607" t="s">
        <v>2968</v>
      </c>
      <c r="B11" s="3607"/>
      <c r="C11" s="3607"/>
      <c r="D11" s="3607"/>
      <c r="E11" s="3607"/>
      <c r="F11" s="3607"/>
      <c r="G11" s="3607"/>
      <c r="H11" s="3607"/>
      <c r="I11" s="3607"/>
      <c r="J11" s="3607"/>
    </row>
    <row r="12" spans="1:11" ht="48.75" customHeight="1">
      <c r="A12" s="3607" t="s">
        <v>2969</v>
      </c>
      <c r="B12" s="3607"/>
      <c r="C12" s="3607"/>
      <c r="D12" s="3607"/>
      <c r="E12" s="3607"/>
      <c r="F12" s="3607"/>
      <c r="G12" s="3607"/>
      <c r="H12" s="3607"/>
      <c r="I12" s="3607"/>
      <c r="J12" s="3607"/>
    </row>
    <row r="13" spans="1:11" ht="15.75">
      <c r="A13" s="688" t="s">
        <v>2939</v>
      </c>
      <c r="B13" s="689"/>
    </row>
    <row r="14" spans="1:11">
      <c r="A14" s="686" t="s">
        <v>2940</v>
      </c>
      <c r="E14" s="690" t="s">
        <v>2941</v>
      </c>
    </row>
    <row r="15" spans="1:11">
      <c r="A15" s="686" t="s">
        <v>2942</v>
      </c>
      <c r="D15" s="691">
        <f>Overview!C25</f>
        <v>2000000</v>
      </c>
    </row>
    <row r="16" spans="1:11">
      <c r="A16" s="692" t="s">
        <v>2943</v>
      </c>
      <c r="D16" s="693">
        <f>Overview!C13</f>
        <v>123</v>
      </c>
    </row>
    <row r="17" spans="1:11" ht="14.25" customHeight="1"/>
    <row r="18" spans="1:11" ht="15.75">
      <c r="A18" s="688" t="s">
        <v>2944</v>
      </c>
      <c r="B18" s="689"/>
      <c r="C18" s="689"/>
    </row>
    <row r="19" spans="1:11" ht="48.75" customHeight="1">
      <c r="A19" s="3614" t="s">
        <v>2971</v>
      </c>
      <c r="B19" s="3614"/>
      <c r="C19" s="3614"/>
      <c r="D19" s="3614"/>
      <c r="E19" s="3614"/>
      <c r="F19" s="3614"/>
      <c r="G19" s="3614"/>
      <c r="H19" s="3614"/>
      <c r="I19" s="3614"/>
      <c r="J19" s="3614"/>
    </row>
    <row r="20" spans="1:11" ht="72.75" customHeight="1">
      <c r="A20" s="3607" t="s">
        <v>3412</v>
      </c>
      <c r="B20" s="3607"/>
      <c r="C20" s="3607"/>
      <c r="D20" s="3607"/>
      <c r="E20" s="3607"/>
      <c r="F20" s="3607"/>
      <c r="G20" s="3607"/>
      <c r="H20" s="3607"/>
      <c r="I20" s="3607"/>
      <c r="J20" s="3607"/>
    </row>
    <row r="21" spans="1:11" ht="15.75">
      <c r="A21" s="688" t="s">
        <v>2945</v>
      </c>
      <c r="B21" s="689"/>
      <c r="C21" s="689"/>
      <c r="D21" s="689"/>
      <c r="E21" s="689"/>
      <c r="F21" s="689"/>
    </row>
    <row r="22" spans="1:11" ht="102.75" customHeight="1">
      <c r="A22" s="3615" t="s">
        <v>2964</v>
      </c>
      <c r="B22" s="3615"/>
      <c r="C22" s="3615"/>
      <c r="D22" s="3615"/>
      <c r="E22" s="3615"/>
      <c r="F22" s="3615"/>
      <c r="G22" s="3615"/>
      <c r="H22" s="3615"/>
      <c r="I22" s="3615"/>
      <c r="J22" s="3615"/>
      <c r="K22" s="1456"/>
    </row>
    <row r="23" spans="1:11" ht="15" customHeight="1">
      <c r="A23" s="3612"/>
      <c r="B23" s="3612"/>
      <c r="C23" s="3612"/>
      <c r="D23" s="3612"/>
      <c r="E23" s="3612"/>
      <c r="F23" s="3612"/>
      <c r="G23" s="3612"/>
      <c r="H23" s="3612"/>
      <c r="I23" s="3612"/>
      <c r="J23" s="3612"/>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2018-017  Heritage Village at West Lake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361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3616"/>
      <c r="J7" s="3616"/>
      <c r="K7" s="3616"/>
      <c r="L7" s="686"/>
      <c r="M7" s="686"/>
    </row>
    <row r="8" spans="1:14" ht="15.75">
      <c r="A8" s="689" t="s">
        <v>3009</v>
      </c>
      <c r="B8" s="689"/>
      <c r="C8" s="3616" t="str">
        <f>'Part I-Project Information'!F34</f>
        <v>Heritage Village at West Lake</v>
      </c>
      <c r="D8" s="3616"/>
      <c r="E8" s="1458" t="str">
        <f>'Part I-Project Information'!O6</f>
        <v>2018-017</v>
      </c>
      <c r="F8" s="728" t="s">
        <v>3010</v>
      </c>
      <c r="G8" s="727"/>
      <c r="H8" s="3616" t="str">
        <f>CONCATENATE('Part I-Project Information'!F38,", ",'Part I-Project Information'!J39)</f>
        <v>Atlanta, Fulton</v>
      </c>
      <c r="I8" s="3616"/>
      <c r="J8" s="3616"/>
      <c r="K8" s="3616"/>
      <c r="L8" s="686"/>
      <c r="M8" s="729"/>
    </row>
    <row r="9" spans="1:14" ht="15.75">
      <c r="A9" s="689" t="s">
        <v>3012</v>
      </c>
      <c r="B9" s="689"/>
      <c r="C9" s="3616" t="s">
        <v>1784</v>
      </c>
      <c r="D9" s="3616"/>
      <c r="E9" s="727"/>
      <c r="F9" s="728" t="s">
        <v>3013</v>
      </c>
      <c r="G9" s="727"/>
      <c r="H9" s="3616" t="str">
        <f>'Part II-Development Team'!H5</f>
        <v>Heritage Village West Lake, L.P.</v>
      </c>
      <c r="I9" s="3616"/>
      <c r="J9" s="3616"/>
      <c r="K9" s="3616"/>
      <c r="L9" s="3616"/>
      <c r="M9" s="729"/>
    </row>
    <row r="10" spans="1:14" ht="15.75">
      <c r="A10" s="689" t="s">
        <v>3015</v>
      </c>
      <c r="B10" s="686"/>
      <c r="C10" s="1458" t="str">
        <f>'Part II-Development Team'!H14</f>
        <v>Heritage Village West Lake Partners, LLC</v>
      </c>
      <c r="D10" s="727"/>
      <c r="E10" s="727"/>
      <c r="F10" s="728" t="s">
        <v>3584</v>
      </c>
      <c r="G10" s="727"/>
      <c r="H10" s="3616" t="str">
        <f>'Part II-Development Team'!H33</f>
        <v>SunTrust Community Capital, LLC</v>
      </c>
      <c r="I10" s="3616"/>
      <c r="J10" s="3616"/>
      <c r="K10" s="3616" t="str">
        <f>'Part II-Development Team'!H39</f>
        <v>SunTrust Community Capital, LLC</v>
      </c>
      <c r="L10" s="3616"/>
    </row>
    <row r="11" spans="1:14" ht="15.75">
      <c r="A11" s="689" t="s">
        <v>3016</v>
      </c>
      <c r="B11" s="686"/>
      <c r="C11" s="1458" t="str">
        <f>IF('Part II-Development Team'!H20="","",'Part II-Development Team'!H20)</f>
        <v/>
      </c>
      <c r="D11" s="727"/>
      <c r="E11" s="1388" t="str">
        <f>IF('Part II-Development Team'!H26="","",'Part II-Development Team'!H26)</f>
        <v/>
      </c>
      <c r="F11" s="728" t="s">
        <v>658</v>
      </c>
      <c r="G11" s="727"/>
      <c r="H11" s="3616" t="str">
        <f>'Part II-Development Team'!H54</f>
        <v>New Affordable Housing Partners, LLC</v>
      </c>
      <c r="I11" s="3616"/>
      <c r="J11" s="3616"/>
      <c r="K11" s="3616" t="str">
        <f>'Part II-Development Team'!H60</f>
        <v>Quest Community Development Organization, Inc</v>
      </c>
      <c r="L11" s="3616"/>
      <c r="M11" s="3616">
        <f>'Part II-Development Team'!H66</f>
        <v>0</v>
      </c>
      <c r="N11" s="3616"/>
    </row>
    <row r="12" spans="1:14" ht="15.75">
      <c r="A12" s="689" t="s">
        <v>3017</v>
      </c>
      <c r="B12" s="686"/>
      <c r="C12" s="1458" t="str">
        <f>'Part II-Development Team'!H86</f>
        <v>Prestwick Construction</v>
      </c>
      <c r="D12" s="727"/>
      <c r="E12" s="727"/>
      <c r="F12" s="728" t="s">
        <v>3018</v>
      </c>
      <c r="G12" s="727"/>
      <c r="H12" s="3616" t="str">
        <f>'Part II-Development Team'!H92</f>
        <v>New Columbia Residential Property Management</v>
      </c>
      <c r="I12" s="3616"/>
      <c r="J12" s="3616"/>
      <c r="K12" s="3616"/>
      <c r="L12" s="686"/>
      <c r="M12" s="686"/>
    </row>
    <row r="13" spans="1:14" ht="15.75">
      <c r="A13" s="689" t="s">
        <v>3019</v>
      </c>
      <c r="B13" s="728"/>
      <c r="C13" s="685">
        <f>'Part VI-Revenues &amp; Expenses'!$O$62</f>
        <v>123</v>
      </c>
      <c r="E13" s="1389">
        <f>'Part VI-Revenues &amp; Expenses'!$O$58</f>
        <v>123</v>
      </c>
      <c r="F13" s="728" t="s">
        <v>4301</v>
      </c>
      <c r="G13" s="727"/>
      <c r="H13" s="1459">
        <f>'Part I-Project Information'!H72</f>
        <v>1</v>
      </c>
      <c r="I13" s="1390"/>
      <c r="J13" s="1390"/>
      <c r="K13" s="1459">
        <f>'Part I-Project Information'!P71</f>
        <v>82590</v>
      </c>
      <c r="L13" s="686"/>
      <c r="M13" s="686"/>
    </row>
    <row r="14" spans="1:14" ht="15.75">
      <c r="A14" s="689" t="s">
        <v>3327</v>
      </c>
      <c r="B14" s="686"/>
      <c r="C14" s="1459" t="str">
        <f>'Part I-Project Information'!H78</f>
        <v>Other Non-Senior</v>
      </c>
      <c r="D14" s="3616" t="str">
        <f>IF('Part I-Project Information'!N70=0,"",'Part I-Project Information'!N70)</f>
        <v/>
      </c>
      <c r="E14" s="3616"/>
      <c r="F14" s="728" t="s">
        <v>3020</v>
      </c>
      <c r="G14" s="727"/>
      <c r="H14" s="3617" t="s">
        <v>3523</v>
      </c>
      <c r="I14" s="3617"/>
      <c r="J14" s="3617"/>
      <c r="K14" s="3617" t="s">
        <v>3523</v>
      </c>
      <c r="L14" s="3617"/>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f>'Part I-Project Information'!H96</f>
        <v>0</v>
      </c>
      <c r="D16" s="731" t="s">
        <v>2696</v>
      </c>
      <c r="E16" s="1458" t="str">
        <f>'Part I-Project Information'!H98</f>
        <v>Yes</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15349522</v>
      </c>
      <c r="D18" s="1437">
        <f>IF(C18=0,"",$C$29/C18)</f>
        <v>0.13029721707294858</v>
      </c>
      <c r="E18" s="727" t="s">
        <v>3331</v>
      </c>
      <c r="F18" s="728" t="s">
        <v>3332</v>
      </c>
      <c r="G18" s="727"/>
      <c r="H18" s="3618">
        <f>'Part IV-A-Uses of Funds'!B44</f>
        <v>8009594</v>
      </c>
      <c r="I18" s="3618"/>
      <c r="J18" s="1436">
        <f>IF(H18=0,"",$C$29/H18)</f>
        <v>0.24970054661946661</v>
      </c>
      <c r="K18" s="3616" t="s">
        <v>3333</v>
      </c>
      <c r="L18" s="3616"/>
      <c r="M18" s="686"/>
    </row>
    <row r="19" spans="1:13" ht="15.75">
      <c r="A19" s="689" t="s">
        <v>3022</v>
      </c>
      <c r="B19" s="686"/>
      <c r="C19" s="1460">
        <f>C18/C13</f>
        <v>124792.86178861788</v>
      </c>
      <c r="D19" s="727"/>
      <c r="E19" s="686"/>
      <c r="F19" s="689" t="s">
        <v>3022</v>
      </c>
      <c r="G19" s="686"/>
      <c r="H19" s="3619">
        <f>H18/C13</f>
        <v>65118.650406504064</v>
      </c>
      <c r="I19" s="3619"/>
      <c r="J19" s="686"/>
      <c r="K19" s="686"/>
      <c r="L19" s="686"/>
      <c r="M19" s="686"/>
    </row>
    <row r="20" spans="1:13" ht="15.75">
      <c r="A20" s="689" t="s">
        <v>3023</v>
      </c>
      <c r="B20" s="686"/>
      <c r="C20" s="1462">
        <f>C18/K13</f>
        <v>185.85206441457802</v>
      </c>
      <c r="D20" s="732"/>
      <c r="E20" s="733"/>
      <c r="F20" s="689" t="s">
        <v>3023</v>
      </c>
      <c r="G20" s="686"/>
      <c r="H20" s="3620">
        <f>H18/K13</f>
        <v>96.980191306453563</v>
      </c>
      <c r="I20" s="36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DCA HOME Loan</v>
      </c>
      <c r="C25" s="739">
        <f>'Part III-Sources of Funds'!I37</f>
        <v>2000000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2000000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13348000</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2000000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0.13029721707294858</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0.24970054661946661</v>
      </c>
      <c r="D40" s="686"/>
      <c r="E40" s="686"/>
      <c r="F40" s="689"/>
      <c r="G40" s="689" t="s">
        <v>3043</v>
      </c>
      <c r="H40" s="686"/>
      <c r="I40" s="686"/>
      <c r="K40" s="741">
        <f>C30/C18</f>
        <v>0.86960362674485892</v>
      </c>
      <c r="L40" s="686"/>
      <c r="M40" s="686"/>
    </row>
    <row r="46" spans="1:13" ht="15.75">
      <c r="A46" s="752" t="s">
        <v>3044</v>
      </c>
      <c r="B46" s="722"/>
      <c r="C46" s="722"/>
      <c r="D46" s="722"/>
      <c r="E46" s="722"/>
      <c r="F46" s="722"/>
      <c r="G46" s="722"/>
      <c r="H46" s="722"/>
      <c r="I46" s="722"/>
      <c r="J46" s="722"/>
      <c r="K46" s="722"/>
      <c r="L46" s="722"/>
      <c r="M46" s="686"/>
    </row>
    <row r="47" spans="1:13" ht="15.75">
      <c r="A47" s="752" t="str">
        <f>C8</f>
        <v>Heritage Village at West Lake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3621" t="s">
        <v>3047</v>
      </c>
      <c r="L50" s="36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851761.79999999993</v>
      </c>
      <c r="D52" s="758"/>
      <c r="E52" s="758">
        <f>$C$52</f>
        <v>851761.79999999993</v>
      </c>
      <c r="F52" s="758"/>
      <c r="G52" s="758">
        <f>$C$52</f>
        <v>851761.79999999993</v>
      </c>
      <c r="H52" s="758"/>
      <c r="I52" s="758">
        <f>$C$52</f>
        <v>851761.79999999993</v>
      </c>
      <c r="J52" s="758"/>
      <c r="K52" s="758">
        <f>$C$52</f>
        <v>851761.79999999993</v>
      </c>
      <c r="L52" s="759"/>
      <c r="M52" s="28"/>
      <c r="N52" s="28"/>
    </row>
    <row r="53" spans="1:14" s="686" customFormat="1" ht="18.75" customHeight="1">
      <c r="B53" s="757" t="s">
        <v>3051</v>
      </c>
      <c r="C53" s="758">
        <f>'Part VII-Pro Forma'!B15</f>
        <v>17035.235999999997</v>
      </c>
      <c r="D53" s="758"/>
      <c r="E53" s="758">
        <f>$C$53</f>
        <v>17035.235999999997</v>
      </c>
      <c r="F53" s="758"/>
      <c r="G53" s="758">
        <f>$C$53</f>
        <v>17035.235999999997</v>
      </c>
      <c r="H53" s="758"/>
      <c r="I53" s="758">
        <f>$C$53</f>
        <v>17035.235999999997</v>
      </c>
      <c r="J53" s="758"/>
      <c r="K53" s="758">
        <f>$C$53</f>
        <v>17035.235999999997</v>
      </c>
      <c r="L53" s="759"/>
      <c r="M53" s="28"/>
      <c r="N53" s="28"/>
    </row>
    <row r="54" spans="1:14" s="686" customFormat="1" ht="18.75" customHeight="1">
      <c r="B54" s="757" t="s">
        <v>3049</v>
      </c>
      <c r="C54" s="758">
        <f>'Part VII-Pro Forma'!B16</f>
        <v>-60815.792520000003</v>
      </c>
      <c r="D54" s="758"/>
      <c r="E54" s="758">
        <f>-($C$52+E53)*F50</f>
        <v>-86879.703600000008</v>
      </c>
      <c r="F54" s="760"/>
      <c r="G54" s="758">
        <f>-($C$52+G53)*0.07</f>
        <v>-60815.792520000003</v>
      </c>
      <c r="H54" s="758"/>
      <c r="I54" s="758">
        <f>-($C$52+I53)*0.07</f>
        <v>-60815.792520000003</v>
      </c>
      <c r="J54" s="758"/>
      <c r="K54" s="758">
        <f>-($C$52+K53)*L54</f>
        <v>-86879.703600000008</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807981.24347999995</v>
      </c>
      <c r="D56" s="758"/>
      <c r="E56" s="764">
        <f>SUM(E52:E55)</f>
        <v>781917.33239999996</v>
      </c>
      <c r="F56" s="758"/>
      <c r="G56" s="764">
        <f>SUM(G52:G55)</f>
        <v>807981.24347999995</v>
      </c>
      <c r="H56" s="758"/>
      <c r="I56" s="764">
        <f>SUM(I52:I55)</f>
        <v>807981.24347999995</v>
      </c>
      <c r="J56" s="758"/>
      <c r="K56" s="764">
        <f>SUM(K52:K55)</f>
        <v>781917.33239999996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262638</v>
      </c>
      <c r="D58" s="758"/>
      <c r="E58" s="758">
        <f>$C$58</f>
        <v>262638</v>
      </c>
      <c r="F58" s="758"/>
      <c r="G58" s="758">
        <f>$C$58</f>
        <v>262638</v>
      </c>
      <c r="H58" s="758"/>
      <c r="I58" s="758">
        <f>$C$58</f>
        <v>262638</v>
      </c>
      <c r="J58" s="758"/>
      <c r="K58" s="758">
        <f>$C$58</f>
        <v>262638</v>
      </c>
      <c r="L58" s="759"/>
      <c r="M58" s="28"/>
      <c r="N58" s="28"/>
    </row>
    <row r="59" spans="1:14" s="686" customFormat="1" ht="18.75" customHeight="1">
      <c r="B59" s="757" t="s">
        <v>3054</v>
      </c>
      <c r="C59" s="758">
        <f>+'Part VI-Revenues &amp; Expenses'!F188</f>
        <v>59000</v>
      </c>
      <c r="D59" s="758"/>
      <c r="E59" s="758">
        <f>$C$59</f>
        <v>59000</v>
      </c>
      <c r="F59" s="758"/>
      <c r="G59" s="758">
        <f>$C$59</f>
        <v>59000</v>
      </c>
      <c r="H59" s="758"/>
      <c r="I59" s="758">
        <f>$C$59</f>
        <v>59000</v>
      </c>
      <c r="J59" s="758"/>
      <c r="K59" s="758">
        <f>$C$59*(1+$L$59)</f>
        <v>61360</v>
      </c>
      <c r="L59" s="766">
        <v>0.04</v>
      </c>
      <c r="M59" s="28"/>
      <c r="N59" s="28"/>
    </row>
    <row r="60" spans="1:14" s="686" customFormat="1" ht="18.75" customHeight="1">
      <c r="B60" s="757" t="s">
        <v>1387</v>
      </c>
      <c r="C60" s="758">
        <f>+'Part VI-Revenues &amp; Expenses'!K185</f>
        <v>107000</v>
      </c>
      <c r="D60" s="758"/>
      <c r="E60" s="758">
        <f>$C$60</f>
        <v>107000</v>
      </c>
      <c r="F60" s="758"/>
      <c r="G60" s="758">
        <f>$C$60</f>
        <v>107000</v>
      </c>
      <c r="H60" s="758"/>
      <c r="I60" s="758">
        <f>$C$60*(1+$J$50)</f>
        <v>110210</v>
      </c>
      <c r="J60" s="760"/>
      <c r="K60" s="758">
        <f>$C$60*(1+$J$50)</f>
        <v>110210</v>
      </c>
      <c r="L60" s="761">
        <v>0.03</v>
      </c>
      <c r="M60" s="28"/>
      <c r="N60" s="28"/>
    </row>
    <row r="61" spans="1:14" s="686" customFormat="1" ht="18.75" customHeight="1">
      <c r="B61" s="757" t="s">
        <v>1388</v>
      </c>
      <c r="C61" s="758">
        <f>+'Part VI-Revenues &amp; Expenses'!P167</f>
        <v>80772</v>
      </c>
      <c r="D61" s="758"/>
      <c r="E61" s="758">
        <f>$C$61</f>
        <v>80772</v>
      </c>
      <c r="F61" s="758"/>
      <c r="G61" s="758">
        <f>$C$61*(1+H50)</f>
        <v>84810.6</v>
      </c>
      <c r="H61" s="760"/>
      <c r="I61" s="758">
        <f>$C$61</f>
        <v>80772</v>
      </c>
      <c r="J61" s="758"/>
      <c r="K61" s="758">
        <f>$C$61*(1+$L$61)</f>
        <v>84810.6</v>
      </c>
      <c r="L61" s="761">
        <v>0.05</v>
      </c>
      <c r="M61" s="28"/>
      <c r="N61" s="28"/>
    </row>
    <row r="62" spans="1:14" s="686" customFormat="1" ht="18.75" customHeight="1">
      <c r="B62" s="763" t="s">
        <v>3055</v>
      </c>
      <c r="C62" s="764">
        <f>SUM(C58:C61)</f>
        <v>509410</v>
      </c>
      <c r="D62" s="758"/>
      <c r="E62" s="764">
        <f>SUM(E58:E61)</f>
        <v>509410</v>
      </c>
      <c r="F62" s="758"/>
      <c r="G62" s="764">
        <f>SUM(G58:G61)</f>
        <v>513448.6</v>
      </c>
      <c r="H62" s="758"/>
      <c r="I62" s="764">
        <f>SUM(I58:I61)</f>
        <v>512620</v>
      </c>
      <c r="J62" s="758"/>
      <c r="K62" s="764">
        <f>SUM(K58:K61)</f>
        <v>519018.6</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298571.24347999995</v>
      </c>
      <c r="D64" s="770"/>
      <c r="E64" s="770">
        <f>E56-E62</f>
        <v>272507.33239999996</v>
      </c>
      <c r="F64" s="770"/>
      <c r="G64" s="770">
        <f>G56-G62</f>
        <v>294532.64347999997</v>
      </c>
      <c r="H64" s="770"/>
      <c r="I64" s="770">
        <f>I56-I62</f>
        <v>295361.24347999995</v>
      </c>
      <c r="J64" s="770"/>
      <c r="K64" s="770">
        <f>K56-K62</f>
        <v>262898.73239999998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43050</v>
      </c>
      <c r="D66" s="765"/>
      <c r="E66" s="765">
        <f>$C$66</f>
        <v>43050</v>
      </c>
      <c r="F66" s="765"/>
      <c r="G66" s="765">
        <f>$C$66</f>
        <v>43050</v>
      </c>
      <c r="H66" s="765"/>
      <c r="I66" s="765">
        <f>$C$66</f>
        <v>43050</v>
      </c>
      <c r="J66" s="765"/>
      <c r="K66" s="765">
        <f>$C$66</f>
        <v>43050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48479</v>
      </c>
      <c r="D68" s="765"/>
      <c r="E68" s="765">
        <f>$C$68</f>
        <v>48479</v>
      </c>
      <c r="F68" s="765"/>
      <c r="G68" s="765">
        <f>$C$68</f>
        <v>48479</v>
      </c>
      <c r="H68" s="765"/>
      <c r="I68" s="765">
        <f>$C$68</f>
        <v>48479</v>
      </c>
      <c r="J68" s="765"/>
      <c r="K68" s="765">
        <f>$C$68</f>
        <v>48479</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207042.24347999995</v>
      </c>
      <c r="D70" s="774"/>
      <c r="E70" s="773">
        <f>E64-E66-E68</f>
        <v>180978.33239999996</v>
      </c>
      <c r="F70" s="774"/>
      <c r="G70" s="773">
        <f>G64-G66-G68</f>
        <v>203003.64347999997</v>
      </c>
      <c r="H70" s="774"/>
      <c r="I70" s="773">
        <f>I64-I66-I68</f>
        <v>203832.24347999995</v>
      </c>
      <c r="J70" s="774"/>
      <c r="K70" s="773">
        <f>K64-K66-K68</f>
        <v>171369.73239999998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1.8758136411964008</v>
      </c>
      <c r="D72" s="776"/>
      <c r="E72" s="1438">
        <f>-E70/E75</f>
        <v>1.6396732327221426</v>
      </c>
      <c r="F72" s="776"/>
      <c r="G72" s="1438">
        <f>-G70/G75</f>
        <v>1.8392237122813988</v>
      </c>
      <c r="H72" s="776"/>
      <c r="I72" s="1438">
        <f>-I70/I75</f>
        <v>1.8467308719651927</v>
      </c>
      <c r="J72" s="776"/>
      <c r="K72" s="1438">
        <f>-K70/K75</f>
        <v>1.5526188101567264</v>
      </c>
      <c r="L72" s="777"/>
      <c r="M72" s="254"/>
      <c r="N72" s="254"/>
    </row>
    <row r="73" spans="1:14" s="686" customFormat="1" ht="18.75" customHeight="1">
      <c r="A73" s="28"/>
      <c r="B73" s="757" t="s">
        <v>3061</v>
      </c>
      <c r="C73" s="1439">
        <f>C76/C62</f>
        <v>0.1897638637053233</v>
      </c>
      <c r="D73" s="778"/>
      <c r="E73" s="1439">
        <f>E76/E62</f>
        <v>0.13859896494008511</v>
      </c>
      <c r="F73" s="778"/>
      <c r="G73" s="1439">
        <f>G76/G62</f>
        <v>0.18040561374620318</v>
      </c>
      <c r="H73" s="778"/>
      <c r="I73" s="1439">
        <f>I76/I62</f>
        <v>0.1823136237566399</v>
      </c>
      <c r="J73" s="778"/>
      <c r="K73" s="1439">
        <f>K76/K62</f>
        <v>0.11752006330819124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-110374.6336698712</v>
      </c>
      <c r="D75" s="758"/>
      <c r="E75" s="758">
        <f>$C$75</f>
        <v>-110374.6336698712</v>
      </c>
      <c r="F75" s="758"/>
      <c r="G75" s="758">
        <f>$C$75</f>
        <v>-110374.6336698712</v>
      </c>
      <c r="H75" s="758"/>
      <c r="I75" s="758">
        <f>$C$75</f>
        <v>-110374.6336698712</v>
      </c>
      <c r="J75" s="758"/>
      <c r="K75" s="758">
        <f>$C$75</f>
        <v>-110374.6336698712</v>
      </c>
      <c r="L75" s="34"/>
      <c r="M75" s="28"/>
      <c r="N75" s="28"/>
    </row>
    <row r="76" spans="1:14" s="686" customFormat="1" ht="18.75" customHeight="1">
      <c r="A76" s="28"/>
      <c r="B76" s="757" t="s">
        <v>1175</v>
      </c>
      <c r="C76" s="758">
        <f>C70+C75</f>
        <v>96667.60981012875</v>
      </c>
      <c r="D76" s="758"/>
      <c r="E76" s="758">
        <f>E70+E75</f>
        <v>70603.698730128759</v>
      </c>
      <c r="F76" s="758"/>
      <c r="G76" s="758">
        <f>G70+G75</f>
        <v>92629.009810128773</v>
      </c>
      <c r="H76" s="758"/>
      <c r="I76" s="758">
        <f>I70+I75</f>
        <v>93457.60981012875</v>
      </c>
      <c r="J76" s="758"/>
      <c r="K76" s="758">
        <f>K70+K75</f>
        <v>60995.098730128782</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Heritage Village at West Lake</v>
      </c>
    </row>
    <row r="13" spans="1:10" ht="15">
      <c r="A13" s="699"/>
      <c r="D13" s="698" t="s">
        <v>2959</v>
      </c>
      <c r="F13" s="1467" t="str">
        <f>Overview!E8</f>
        <v>2018-017</v>
      </c>
    </row>
    <row r="14" spans="1:10" ht="15">
      <c r="A14" s="699"/>
      <c r="D14" s="698" t="s">
        <v>2960</v>
      </c>
      <c r="F14" s="1467" t="str">
        <f>Overview!H8</f>
        <v>Atlanta, Fulton</v>
      </c>
    </row>
    <row r="15" spans="1:10" ht="15">
      <c r="A15" s="699"/>
      <c r="D15" s="698" t="s">
        <v>3324</v>
      </c>
      <c r="F15" s="3636">
        <f>Overview!$C$25</f>
        <v>2000000</v>
      </c>
      <c r="G15" s="3636"/>
      <c r="H15" s="3636"/>
    </row>
    <row r="16" spans="1:10" ht="15">
      <c r="A16" s="699"/>
      <c r="D16" s="701" t="s">
        <v>2961</v>
      </c>
      <c r="F16" s="702">
        <f>Overview!C13</f>
        <v>123</v>
      </c>
      <c r="G16" s="703" t="s">
        <v>3325</v>
      </c>
      <c r="H16" s="1391">
        <f>Overview!E13</f>
        <v>123</v>
      </c>
    </row>
    <row r="17" spans="1:18" ht="15">
      <c r="A17" s="699"/>
      <c r="D17" s="701" t="s">
        <v>2924</v>
      </c>
      <c r="F17" s="702" t="str">
        <f>Overview!C14</f>
        <v>Other Non-Senior</v>
      </c>
    </row>
    <row r="18" spans="1:18" ht="15">
      <c r="A18" s="699"/>
      <c r="D18" s="701" t="s">
        <v>3329</v>
      </c>
      <c r="F18" s="1467" t="str">
        <f>Overview!H15</f>
        <v>Urban</v>
      </c>
    </row>
    <row r="19" spans="1:18" ht="15">
      <c r="A19" s="699"/>
      <c r="D19" s="701" t="s">
        <v>3326</v>
      </c>
      <c r="F19" s="1467" t="str">
        <f>Overview!E16</f>
        <v>Yes</v>
      </c>
    </row>
    <row r="20" spans="1:18" ht="15">
      <c r="A20" s="699"/>
      <c r="D20" s="701"/>
    </row>
    <row r="21" spans="1:18" ht="15">
      <c r="A21" s="704" t="s">
        <v>2962</v>
      </c>
    </row>
    <row r="22" spans="1:18" ht="111.75" customHeight="1">
      <c r="A22" s="3623" t="s">
        <v>3522</v>
      </c>
      <c r="B22" s="3623"/>
      <c r="C22" s="3623"/>
      <c r="D22" s="3623"/>
      <c r="E22" s="3623"/>
      <c r="F22" s="3623"/>
      <c r="G22" s="3623"/>
      <c r="H22" s="3623"/>
      <c r="I22" s="3623"/>
      <c r="J22" s="3623"/>
      <c r="L22" s="3624" t="s">
        <v>3334</v>
      </c>
      <c r="M22" s="3624"/>
      <c r="N22" s="3624"/>
      <c r="O22" s="3624"/>
      <c r="P22" s="3624"/>
      <c r="Q22" s="3624"/>
      <c r="R22" s="3624"/>
    </row>
    <row r="23" spans="1:18" ht="0.75" hidden="1" customHeight="1">
      <c r="A23" s="1457"/>
      <c r="B23" s="1457"/>
      <c r="C23" s="1457"/>
      <c r="D23" s="1457"/>
      <c r="E23" s="1457"/>
      <c r="F23" s="1457"/>
      <c r="G23" s="1457"/>
      <c r="H23" s="1457"/>
      <c r="I23" s="1457"/>
      <c r="J23" s="1457"/>
    </row>
    <row r="24" spans="1:18" ht="9.75" hidden="1" customHeight="1">
      <c r="A24" s="3625"/>
      <c r="B24" s="3625"/>
      <c r="C24" s="3625"/>
      <c r="D24" s="3625"/>
      <c r="E24" s="3625"/>
      <c r="F24" s="3625"/>
      <c r="G24" s="3625"/>
      <c r="H24" s="3625"/>
      <c r="I24" s="3625"/>
      <c r="J24" s="3625"/>
    </row>
    <row r="25" spans="1:18" ht="10.5" hidden="1" customHeight="1">
      <c r="A25" s="3626"/>
      <c r="B25" s="3626"/>
      <c r="C25" s="3626"/>
      <c r="D25" s="3626"/>
      <c r="E25" s="3626"/>
      <c r="F25" s="3626"/>
      <c r="G25" s="3626"/>
      <c r="H25" s="3626"/>
      <c r="I25" s="3626"/>
      <c r="J25" s="3626"/>
    </row>
    <row r="26" spans="1:18" ht="15">
      <c r="A26" s="704" t="s">
        <v>2963</v>
      </c>
    </row>
    <row r="27" spans="1:18" ht="14.25" customHeight="1">
      <c r="A27" s="3627" t="s">
        <v>2964</v>
      </c>
      <c r="B27" s="3627"/>
      <c r="C27" s="3627"/>
      <c r="D27" s="3627"/>
      <c r="E27" s="3627"/>
      <c r="F27" s="3627"/>
      <c r="G27" s="3627"/>
      <c r="H27" s="3627"/>
      <c r="I27" s="3627"/>
      <c r="J27" s="3627"/>
    </row>
    <row r="28" spans="1:18" ht="14.25" customHeight="1">
      <c r="A28" s="3627"/>
      <c r="B28" s="3627"/>
      <c r="C28" s="3627"/>
      <c r="D28" s="3627"/>
      <c r="E28" s="3627"/>
      <c r="F28" s="3627"/>
      <c r="G28" s="3627"/>
      <c r="H28" s="3627"/>
      <c r="I28" s="3627"/>
      <c r="J28" s="3627"/>
    </row>
    <row r="29" spans="1:18" ht="6.75" customHeight="1">
      <c r="A29" s="3627"/>
      <c r="B29" s="3627"/>
      <c r="C29" s="3627"/>
      <c r="D29" s="3627"/>
      <c r="E29" s="3627"/>
      <c r="F29" s="3627"/>
      <c r="G29" s="3627"/>
      <c r="H29" s="3627"/>
      <c r="I29" s="3627"/>
      <c r="J29" s="3627"/>
    </row>
    <row r="30" spans="1:18" ht="14.25" customHeight="1">
      <c r="A30" s="3627"/>
      <c r="B30" s="3627"/>
      <c r="C30" s="3627"/>
      <c r="D30" s="3627"/>
      <c r="E30" s="3627"/>
      <c r="F30" s="3627"/>
      <c r="G30" s="3627"/>
      <c r="H30" s="3627"/>
      <c r="I30" s="3627"/>
      <c r="J30" s="3627"/>
    </row>
    <row r="31" spans="1:18" ht="14.25" customHeight="1">
      <c r="A31" s="3627"/>
      <c r="B31" s="3627"/>
      <c r="C31" s="3627"/>
      <c r="D31" s="3627"/>
      <c r="E31" s="3627"/>
      <c r="F31" s="3627"/>
      <c r="G31" s="3627"/>
      <c r="H31" s="3627"/>
      <c r="I31" s="3627"/>
      <c r="J31" s="3627"/>
    </row>
    <row r="32" spans="1:18" ht="54.75" customHeight="1">
      <c r="A32" s="3627"/>
      <c r="B32" s="3627"/>
      <c r="C32" s="3627"/>
      <c r="D32" s="3627"/>
      <c r="E32" s="3627"/>
      <c r="F32" s="3627"/>
      <c r="G32" s="3627"/>
      <c r="H32" s="3627"/>
      <c r="I32" s="3627"/>
      <c r="J32" s="3627"/>
    </row>
    <row r="33" spans="1:10" ht="0.75" hidden="1" customHeight="1">
      <c r="A33" s="3627"/>
      <c r="B33" s="3627"/>
      <c r="C33" s="3627"/>
      <c r="D33" s="3627"/>
      <c r="E33" s="3627"/>
      <c r="F33" s="3627"/>
      <c r="G33" s="3627"/>
      <c r="H33" s="3627"/>
      <c r="I33" s="3627"/>
      <c r="J33" s="3627"/>
    </row>
    <row r="34" spans="1:10" ht="3.75" hidden="1" customHeight="1">
      <c r="A34" s="3627"/>
      <c r="B34" s="3627"/>
      <c r="C34" s="3627"/>
      <c r="D34" s="3627"/>
      <c r="E34" s="3627"/>
      <c r="F34" s="3627"/>
      <c r="G34" s="3627"/>
      <c r="H34" s="3627"/>
      <c r="I34" s="3627"/>
      <c r="J34" s="3627"/>
    </row>
    <row r="35" spans="1:10" ht="5.25" customHeight="1">
      <c r="A35" s="1464"/>
      <c r="B35" s="1464"/>
      <c r="C35" s="1464"/>
      <c r="D35" s="1464"/>
      <c r="E35" s="1464"/>
      <c r="F35" s="1464"/>
      <c r="G35" s="1464"/>
      <c r="H35" s="1464"/>
      <c r="I35" s="1464"/>
      <c r="J35" s="1464"/>
    </row>
    <row r="36" spans="1:10" ht="19.5" customHeight="1">
      <c r="A36" s="3625" t="s">
        <v>2965</v>
      </c>
      <c r="B36" s="3625"/>
      <c r="C36" s="3625"/>
      <c r="D36" s="1457"/>
      <c r="E36" s="1457"/>
      <c r="F36" s="1457"/>
      <c r="G36" s="1457"/>
      <c r="H36" s="1457"/>
      <c r="I36" s="1457"/>
      <c r="J36" s="1457"/>
    </row>
    <row r="37" spans="1:10" ht="15" customHeight="1">
      <c r="A37" s="3607"/>
      <c r="B37" s="3607"/>
      <c r="C37" s="3607"/>
      <c r="D37" s="3607"/>
      <c r="E37" s="3607"/>
      <c r="F37" s="3607"/>
      <c r="G37" s="3607"/>
      <c r="H37" s="3607"/>
      <c r="I37" s="3607"/>
      <c r="J37" s="3607"/>
    </row>
    <row r="38" spans="1:10" ht="33.75" customHeight="1">
      <c r="A38" s="3607"/>
      <c r="B38" s="3607"/>
      <c r="C38" s="3607"/>
      <c r="D38" s="3607"/>
      <c r="E38" s="3607"/>
      <c r="F38" s="3607"/>
      <c r="G38" s="3607"/>
      <c r="H38" s="3607"/>
      <c r="I38" s="3607"/>
      <c r="J38" s="3607"/>
    </row>
    <row r="39" spans="1:10" ht="2.25" customHeight="1">
      <c r="A39" s="1457"/>
      <c r="B39" s="1457"/>
      <c r="C39" s="1457"/>
      <c r="D39" s="1457"/>
      <c r="E39" s="1457"/>
      <c r="F39" s="1457"/>
      <c r="G39" s="1457"/>
      <c r="H39" s="1457"/>
      <c r="I39" s="1457"/>
      <c r="J39" s="1457"/>
    </row>
    <row r="40" spans="1:10" ht="15">
      <c r="A40" s="704" t="s">
        <v>2966</v>
      </c>
    </row>
    <row r="41" spans="1:10" ht="135" customHeight="1">
      <c r="A41" s="3626" t="s">
        <v>4292</v>
      </c>
      <c r="B41" s="3626"/>
      <c r="C41" s="3626"/>
      <c r="D41" s="3626"/>
      <c r="E41" s="3626"/>
      <c r="F41" s="3626"/>
      <c r="G41" s="3626"/>
      <c r="H41" s="3626"/>
      <c r="I41" s="3626"/>
      <c r="J41" s="3626"/>
    </row>
    <row r="42" spans="1:10" ht="6" customHeight="1">
      <c r="A42" s="1463"/>
      <c r="B42" s="1463"/>
      <c r="C42" s="1463"/>
      <c r="D42" s="1463"/>
      <c r="E42" s="1463"/>
      <c r="F42" s="1463"/>
      <c r="G42" s="1463"/>
      <c r="H42" s="1463"/>
      <c r="I42" s="1463"/>
      <c r="J42" s="1463"/>
    </row>
    <row r="43" spans="1:10" ht="15">
      <c r="A43" s="704" t="s">
        <v>2967</v>
      </c>
    </row>
    <row r="44" spans="1:10" ht="33" customHeight="1">
      <c r="A44" s="3607" t="s">
        <v>4302</v>
      </c>
      <c r="B44" s="3613"/>
      <c r="C44" s="3613"/>
      <c r="D44" s="3613"/>
      <c r="E44" s="3613"/>
      <c r="F44" s="3613"/>
      <c r="G44" s="3613"/>
      <c r="H44" s="3613"/>
      <c r="I44" s="3613"/>
      <c r="J44" s="3607"/>
    </row>
    <row r="45" spans="1:10" ht="3" customHeight="1"/>
    <row r="46" spans="1:10" ht="72.75" customHeight="1">
      <c r="A46" s="3607" t="s">
        <v>4303</v>
      </c>
      <c r="B46" s="3607"/>
      <c r="C46" s="3607"/>
      <c r="D46" s="3607"/>
      <c r="E46" s="3607"/>
      <c r="F46" s="3607"/>
      <c r="G46" s="3607"/>
      <c r="H46" s="3607"/>
      <c r="I46" s="3607"/>
      <c r="J46" s="3607"/>
    </row>
    <row r="47" spans="1:10" ht="3" customHeight="1">
      <c r="A47" s="1457"/>
      <c r="B47" s="1457"/>
      <c r="C47" s="1457"/>
      <c r="D47" s="1457"/>
      <c r="E47" s="1457"/>
      <c r="F47" s="1457"/>
      <c r="G47" s="1457"/>
      <c r="H47" s="1457"/>
      <c r="I47" s="1457"/>
      <c r="J47" s="1457"/>
    </row>
    <row r="48" spans="1:10" ht="56.25" customHeight="1">
      <c r="A48" s="3607" t="s">
        <v>4304</v>
      </c>
      <c r="B48" s="3607"/>
      <c r="C48" s="3607"/>
      <c r="D48" s="3607"/>
      <c r="E48" s="3607"/>
      <c r="F48" s="3607"/>
      <c r="G48" s="3607"/>
      <c r="H48" s="3607"/>
      <c r="I48" s="3607"/>
      <c r="J48" s="3607"/>
    </row>
    <row r="49" spans="1:17" ht="3" customHeight="1">
      <c r="A49" s="1457"/>
      <c r="B49" s="1457"/>
      <c r="C49" s="1457"/>
      <c r="D49" s="1457"/>
      <c r="E49" s="1457"/>
      <c r="F49" s="1457"/>
      <c r="G49" s="1457"/>
      <c r="H49" s="1457"/>
      <c r="I49" s="1457"/>
      <c r="J49" s="1457"/>
    </row>
    <row r="50" spans="1:17" ht="49.5" customHeight="1">
      <c r="A50" s="3607" t="s">
        <v>4305</v>
      </c>
      <c r="B50" s="3607"/>
      <c r="C50" s="3607"/>
      <c r="D50" s="3607"/>
      <c r="E50" s="3607"/>
      <c r="F50" s="3607"/>
      <c r="G50" s="3607"/>
      <c r="H50" s="3607"/>
      <c r="I50" s="3607"/>
      <c r="J50" s="1457"/>
    </row>
    <row r="51" spans="1:17" ht="3" customHeight="1">
      <c r="A51" s="1457"/>
      <c r="B51" s="1457"/>
      <c r="C51" s="1457"/>
      <c r="D51" s="1457"/>
      <c r="E51" s="1457"/>
      <c r="F51" s="1457"/>
      <c r="G51" s="1457"/>
      <c r="H51" s="1457"/>
      <c r="I51" s="1457"/>
      <c r="J51" s="1457"/>
    </row>
    <row r="52" spans="1:17" ht="54.75" customHeight="1">
      <c r="A52" s="3641" t="s">
        <v>3335</v>
      </c>
      <c r="B52" s="3630"/>
      <c r="C52" s="3630"/>
      <c r="D52" s="3630"/>
      <c r="E52" s="3630"/>
      <c r="F52" s="3630"/>
      <c r="G52" s="3630"/>
      <c r="H52" s="3630"/>
      <c r="I52" s="3630"/>
      <c r="J52" s="1457"/>
    </row>
    <row r="53" spans="1:17" ht="3" customHeight="1">
      <c r="A53" s="1457"/>
      <c r="B53" s="1457"/>
      <c r="C53" s="1457"/>
      <c r="D53" s="1457"/>
      <c r="E53" s="1457"/>
      <c r="F53" s="1457"/>
      <c r="G53" s="1457"/>
      <c r="H53" s="1457"/>
      <c r="I53" s="1457"/>
      <c r="J53" s="1457"/>
    </row>
    <row r="54" spans="1:17" ht="62.25" customHeight="1">
      <c r="A54" s="3630" t="s">
        <v>4306</v>
      </c>
      <c r="B54" s="3630"/>
      <c r="C54" s="3630"/>
      <c r="D54" s="3630"/>
      <c r="E54" s="3630"/>
      <c r="F54" s="3630"/>
      <c r="G54" s="3630"/>
      <c r="H54" s="3630"/>
      <c r="I54" s="3630"/>
      <c r="J54" s="3630"/>
    </row>
    <row r="55" spans="1:17" ht="3" customHeight="1"/>
    <row r="56" spans="1:17" ht="73.5" customHeight="1">
      <c r="A56" s="3607" t="s">
        <v>4307</v>
      </c>
      <c r="B56" s="3607"/>
      <c r="C56" s="3607"/>
      <c r="D56" s="3607"/>
      <c r="E56" s="3607"/>
      <c r="F56" s="3607"/>
      <c r="G56" s="3607"/>
      <c r="H56" s="3607"/>
      <c r="I56" s="3607"/>
      <c r="J56" s="3607"/>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3623" t="s">
        <v>2971</v>
      </c>
      <c r="B59" s="3623"/>
      <c r="C59" s="3623"/>
      <c r="D59" s="3623"/>
      <c r="E59" s="3623"/>
      <c r="F59" s="3623"/>
      <c r="G59" s="3623"/>
      <c r="H59" s="3623"/>
      <c r="I59" s="3623"/>
      <c r="J59" s="3623"/>
      <c r="L59" s="706">
        <f>'Closing term sheet'!C133</f>
        <v>899239</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3630" t="s">
        <v>3412</v>
      </c>
      <c r="B61" s="3630"/>
      <c r="C61" s="3630"/>
      <c r="D61" s="3630"/>
      <c r="E61" s="3630"/>
      <c r="F61" s="3630"/>
      <c r="G61" s="3630"/>
      <c r="H61" s="3630"/>
      <c r="I61" s="3630"/>
      <c r="J61" s="711"/>
      <c r="L61" s="712">
        <f>'Part III-Sources of Funds'!I49</f>
        <v>8272000</v>
      </c>
      <c r="M61" s="713">
        <f>'Part IV-A-Uses of Funds'!$J$175</f>
        <v>940000</v>
      </c>
      <c r="N61" s="714">
        <f>'Part IV-A-Uses of Funds'!N168</f>
        <v>0.88</v>
      </c>
      <c r="O61" s="712">
        <f>'Part III-Sources of Funds'!I50</f>
        <v>5076000</v>
      </c>
      <c r="P61" s="713">
        <f>M61</f>
        <v>940000</v>
      </c>
      <c r="Q61" s="714">
        <f>'Part IV-A-Uses of Funds'!Q168</f>
        <v>0.54</v>
      </c>
    </row>
    <row r="62" spans="1:17" ht="18.75" customHeight="1">
      <c r="A62" s="715" t="s">
        <v>2972</v>
      </c>
    </row>
    <row r="63" spans="1:17" ht="159.75" customHeight="1">
      <c r="A63" s="3630" t="s">
        <v>4308</v>
      </c>
      <c r="B63" s="3630"/>
      <c r="C63" s="3630"/>
      <c r="D63" s="3630"/>
      <c r="E63" s="3630"/>
      <c r="F63" s="3630"/>
      <c r="G63" s="3630"/>
      <c r="H63" s="3630"/>
      <c r="I63" s="3630"/>
      <c r="J63" s="3630"/>
      <c r="L63" s="716">
        <f>'Part VII-Pro Forma'!K67</f>
        <v>3.1614035833626986E-7</v>
      </c>
      <c r="M63" s="3628" t="s">
        <v>3521</v>
      </c>
      <c r="N63" s="3629"/>
    </row>
    <row r="64" spans="1:17" ht="6" customHeight="1">
      <c r="A64" s="704"/>
    </row>
    <row r="65" spans="1:10" ht="15">
      <c r="A65" s="704" t="s">
        <v>2973</v>
      </c>
    </row>
    <row r="66" spans="1:10" ht="66.75" customHeight="1">
      <c r="A66" s="3630" t="s">
        <v>2974</v>
      </c>
      <c r="B66" s="3630"/>
      <c r="C66" s="3630"/>
      <c r="D66" s="3630"/>
      <c r="E66" s="3630"/>
      <c r="F66" s="3630"/>
      <c r="G66" s="3630"/>
      <c r="H66" s="3630"/>
      <c r="I66" s="3630"/>
      <c r="J66" s="3630"/>
    </row>
    <row r="67" spans="1:10" ht="36" customHeight="1">
      <c r="A67" s="3630" t="s">
        <v>2975</v>
      </c>
      <c r="B67" s="3630"/>
      <c r="C67" s="3630"/>
      <c r="D67" s="3630"/>
      <c r="E67" s="3630"/>
      <c r="F67" s="3630"/>
      <c r="G67" s="3630"/>
      <c r="H67" s="3630"/>
      <c r="I67" s="3630"/>
      <c r="J67" s="3630"/>
    </row>
    <row r="68" spans="1:10" ht="6" customHeight="1">
      <c r="A68" s="704"/>
    </row>
    <row r="69" spans="1:10" ht="15">
      <c r="A69" s="704" t="s">
        <v>2976</v>
      </c>
    </row>
    <row r="70" spans="1:10" ht="105.75" customHeight="1">
      <c r="A70" s="3607" t="s">
        <v>2977</v>
      </c>
      <c r="B70" s="3607"/>
      <c r="C70" s="3607"/>
      <c r="D70" s="3607"/>
      <c r="E70" s="3607"/>
      <c r="F70" s="3607"/>
      <c r="G70" s="3607"/>
      <c r="H70" s="3607"/>
      <c r="I70" s="3607"/>
      <c r="J70" s="3607"/>
    </row>
    <row r="71" spans="1:10" ht="6" customHeight="1">
      <c r="A71" s="704"/>
    </row>
    <row r="72" spans="1:10" ht="15">
      <c r="A72" s="704" t="s">
        <v>2978</v>
      </c>
    </row>
    <row r="73" spans="1:10" ht="66" customHeight="1">
      <c r="A73" s="3607" t="s">
        <v>2979</v>
      </c>
      <c r="B73" s="3607"/>
      <c r="C73" s="3607"/>
      <c r="D73" s="3607"/>
      <c r="E73" s="3607"/>
      <c r="F73" s="3607"/>
      <c r="G73" s="3607"/>
      <c r="H73" s="3607"/>
      <c r="I73" s="3607"/>
      <c r="J73" s="3607"/>
    </row>
    <row r="74" spans="1:10" s="1464" customFormat="1" ht="6" customHeight="1">
      <c r="A74" s="3607"/>
      <c r="B74" s="3607"/>
      <c r="C74" s="3607"/>
      <c r="D74" s="3607"/>
      <c r="E74" s="3607"/>
      <c r="F74" s="3607"/>
      <c r="G74" s="3607"/>
      <c r="H74" s="3607"/>
      <c r="I74" s="3607"/>
      <c r="J74" s="3607"/>
    </row>
    <row r="75" spans="1:10" ht="16.5" customHeight="1">
      <c r="A75" s="1466" t="s">
        <v>2980</v>
      </c>
      <c r="B75" s="703"/>
      <c r="C75" s="703"/>
      <c r="D75" s="1467"/>
      <c r="E75" s="703"/>
      <c r="F75" s="703"/>
      <c r="G75" s="703"/>
      <c r="H75" s="703"/>
      <c r="I75" s="703"/>
      <c r="J75" s="717"/>
    </row>
    <row r="76" spans="1:10" s="1464" customFormat="1" ht="63" customHeight="1">
      <c r="A76" s="3607" t="s">
        <v>4520</v>
      </c>
      <c r="B76" s="3607"/>
      <c r="C76" s="3607"/>
      <c r="D76" s="3607"/>
      <c r="E76" s="3607"/>
      <c r="F76" s="3607"/>
      <c r="G76" s="3607"/>
      <c r="H76" s="3607"/>
      <c r="I76" s="3607"/>
      <c r="J76" s="3607"/>
    </row>
    <row r="77" spans="1:10" s="1464" customFormat="1" ht="6" customHeight="1">
      <c r="A77" s="1457"/>
      <c r="B77" s="1457"/>
      <c r="C77" s="1457"/>
      <c r="D77" s="1457"/>
      <c r="E77" s="1457"/>
      <c r="F77" s="1457"/>
      <c r="G77" s="1457"/>
      <c r="H77" s="1457"/>
      <c r="I77" s="1457"/>
      <c r="J77" s="1457"/>
    </row>
    <row r="78" spans="1:10" ht="16.5" customHeight="1">
      <c r="A78" s="3632" t="s">
        <v>2981</v>
      </c>
      <c r="B78" s="3633"/>
      <c r="C78" s="3633"/>
      <c r="D78" s="703"/>
      <c r="E78" s="703"/>
      <c r="F78" s="703"/>
      <c r="G78" s="703"/>
      <c r="H78" s="703"/>
      <c r="I78" s="703"/>
      <c r="J78" s="717"/>
    </row>
    <row r="79" spans="1:10" ht="41.25" customHeight="1">
      <c r="A79" s="3630" t="s">
        <v>4309</v>
      </c>
      <c r="B79" s="3634"/>
      <c r="C79" s="3634"/>
      <c r="D79" s="3634"/>
      <c r="E79" s="3634"/>
      <c r="F79" s="3634"/>
      <c r="G79" s="3634"/>
      <c r="H79" s="3634"/>
      <c r="I79" s="3634"/>
      <c r="J79" s="3634"/>
    </row>
    <row r="80" spans="1:10" ht="6" customHeight="1">
      <c r="A80" s="718"/>
      <c r="B80" s="703"/>
      <c r="C80" s="703"/>
      <c r="D80" s="703"/>
      <c r="E80" s="703"/>
      <c r="F80" s="703"/>
      <c r="G80" s="703"/>
      <c r="H80" s="703"/>
      <c r="I80" s="703"/>
      <c r="J80" s="717"/>
    </row>
    <row r="81" spans="1:15" ht="15">
      <c r="A81" s="704" t="s">
        <v>2982</v>
      </c>
    </row>
    <row r="82" spans="1:15" ht="139.5" customHeight="1">
      <c r="A82" s="3630" t="s">
        <v>2983</v>
      </c>
      <c r="B82" s="3630"/>
      <c r="C82" s="3630"/>
      <c r="D82" s="3630"/>
      <c r="E82" s="3630"/>
      <c r="F82" s="3630"/>
      <c r="G82" s="3630"/>
      <c r="H82" s="3630"/>
      <c r="I82" s="3630"/>
      <c r="J82" s="3630"/>
      <c r="L82" s="3635" t="s">
        <v>2984</v>
      </c>
      <c r="M82" s="3635"/>
      <c r="N82" s="3635"/>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3630" t="s">
        <v>2986</v>
      </c>
      <c r="B85" s="3630"/>
      <c r="C85" s="3630"/>
      <c r="D85" s="3630"/>
      <c r="E85" s="3630"/>
      <c r="F85" s="3630"/>
      <c r="G85" s="3630"/>
      <c r="H85" s="3630"/>
      <c r="I85" s="3630"/>
      <c r="J85" s="3630"/>
      <c r="L85" s="3635" t="s">
        <v>2987</v>
      </c>
      <c r="M85" s="3635"/>
      <c r="N85" s="719" t="e">
        <f>'After-Tax Analysis'!G66</f>
        <v>#VALUE!</v>
      </c>
      <c r="O85" s="720" t="s">
        <v>2988</v>
      </c>
    </row>
    <row r="86" spans="1:15" ht="6" customHeight="1">
      <c r="A86" s="704"/>
    </row>
    <row r="87" spans="1:15" ht="15">
      <c r="A87" s="704" t="s">
        <v>2989</v>
      </c>
    </row>
    <row r="88" spans="1:15" ht="118.5" customHeight="1">
      <c r="A88" s="3607" t="s">
        <v>2990</v>
      </c>
      <c r="B88" s="3607"/>
      <c r="C88" s="3607"/>
      <c r="D88" s="3607"/>
      <c r="E88" s="3607"/>
      <c r="F88" s="3607"/>
      <c r="G88" s="3607"/>
      <c r="H88" s="3607"/>
      <c r="I88" s="3607"/>
      <c r="J88" s="3607"/>
    </row>
    <row r="89" spans="1:15" ht="20.25" customHeight="1">
      <c r="A89" s="3613" t="s">
        <v>2991</v>
      </c>
      <c r="B89" s="3613"/>
      <c r="C89" s="3613"/>
      <c r="D89" s="3607"/>
      <c r="E89" s="1457"/>
      <c r="F89" s="1457"/>
      <c r="G89" s="1457"/>
      <c r="H89" s="1457"/>
      <c r="I89" s="1457"/>
      <c r="J89" s="1457"/>
    </row>
    <row r="90" spans="1:15" ht="109.5" customHeight="1">
      <c r="A90" s="3638" t="s">
        <v>2992</v>
      </c>
      <c r="B90" s="3639"/>
      <c r="C90" s="3639"/>
      <c r="D90" s="3639"/>
      <c r="E90" s="3639"/>
      <c r="F90" s="3639"/>
      <c r="G90" s="3639"/>
      <c r="H90" s="3639"/>
      <c r="I90" s="3639"/>
      <c r="J90" s="3639"/>
    </row>
    <row r="91" spans="1:15" ht="11.25" customHeight="1">
      <c r="A91" s="704"/>
    </row>
    <row r="92" spans="1:15" ht="15">
      <c r="A92" s="704" t="s">
        <v>2993</v>
      </c>
    </row>
    <row r="93" spans="1:15" ht="122.25" customHeight="1">
      <c r="A93" s="3623" t="s">
        <v>2994</v>
      </c>
      <c r="B93" s="3623"/>
      <c r="C93" s="3623"/>
      <c r="D93" s="3623"/>
      <c r="E93" s="3623"/>
      <c r="F93" s="3623"/>
      <c r="G93" s="3623"/>
      <c r="H93" s="3623"/>
      <c r="I93" s="3623"/>
      <c r="J93" s="3623"/>
      <c r="L93" s="1395">
        <f>'Part VII-Pro Forma'!K67</f>
        <v>3.1614035833626986E-7</v>
      </c>
      <c r="M93" s="3631" t="s">
        <v>2995</v>
      </c>
      <c r="N93" s="3631"/>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13" t="s">
        <v>2996</v>
      </c>
      <c r="B97" s="3613"/>
      <c r="C97" s="3613"/>
      <c r="D97" s="1457"/>
      <c r="E97" s="1457"/>
      <c r="F97" s="1457"/>
      <c r="G97" s="1457"/>
      <c r="H97" s="1457"/>
      <c r="I97" s="1457"/>
      <c r="J97" s="717"/>
    </row>
    <row r="98" spans="1:10" ht="37.5" customHeight="1">
      <c r="A98" s="3630" t="s">
        <v>2997</v>
      </c>
      <c r="B98" s="3630"/>
      <c r="C98" s="3630"/>
      <c r="D98" s="3630"/>
      <c r="E98" s="3630"/>
      <c r="F98" s="3630"/>
      <c r="G98" s="3630"/>
      <c r="H98" s="3630"/>
      <c r="I98" s="3630"/>
      <c r="J98" s="3630"/>
    </row>
    <row r="99" spans="1:10" ht="6" customHeight="1">
      <c r="A99" s="704"/>
    </row>
    <row r="100" spans="1:10" ht="15">
      <c r="A100" s="704" t="s">
        <v>2998</v>
      </c>
    </row>
    <row r="101" spans="1:10" ht="43.5" customHeight="1">
      <c r="A101" s="3607" t="s">
        <v>2999</v>
      </c>
      <c r="B101" s="3607"/>
      <c r="C101" s="3607"/>
      <c r="D101" s="3607"/>
      <c r="E101" s="3607"/>
      <c r="F101" s="3607"/>
      <c r="G101" s="3607"/>
      <c r="H101" s="3607"/>
      <c r="I101" s="3607"/>
      <c r="J101" s="3607"/>
    </row>
    <row r="102" spans="1:10" ht="6" customHeight="1">
      <c r="A102" s="1457"/>
      <c r="B102" s="1457"/>
      <c r="C102" s="1457"/>
      <c r="D102" s="1457"/>
      <c r="E102" s="1457"/>
      <c r="F102" s="1457"/>
      <c r="G102" s="1457"/>
      <c r="H102" s="1457"/>
      <c r="I102" s="1457"/>
      <c r="J102" s="1457"/>
    </row>
    <row r="103" spans="1:10" ht="15">
      <c r="A103" s="704" t="s">
        <v>3000</v>
      </c>
    </row>
    <row r="105" spans="1:10">
      <c r="A105" s="3640" t="s">
        <v>3001</v>
      </c>
      <c r="B105" s="3640"/>
      <c r="C105" s="3640"/>
      <c r="D105" s="3640"/>
      <c r="E105" s="3640"/>
      <c r="F105" s="3640"/>
      <c r="G105" s="3640"/>
      <c r="H105" s="3640"/>
      <c r="I105" s="3640"/>
      <c r="J105" s="364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3637" t="s">
        <v>4310</v>
      </c>
      <c r="B116" s="3637"/>
      <c r="C116" s="3637"/>
      <c r="D116" s="3637"/>
      <c r="E116" s="3637"/>
      <c r="H116" s="3637" t="s">
        <v>3005</v>
      </c>
      <c r="I116" s="3637"/>
      <c r="J116" s="3637"/>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Heritage Village at West Lake</v>
      </c>
    </row>
    <row r="2" spans="1:15" ht="13.5" customHeight="1"/>
    <row r="3" spans="1:15" ht="13.5" customHeight="1">
      <c r="A3" s="699" t="s">
        <v>3068</v>
      </c>
      <c r="C3" s="698" t="s">
        <v>3069</v>
      </c>
      <c r="E3" s="784">
        <f>SUM('Part IV-A-Uses of Funds'!J149,'Part IV-A-Uses of Funds'!M149,'Part IV-A-Uses of Funds'!P149)</f>
        <v>11322032</v>
      </c>
      <c r="F3" s="1467" t="s">
        <v>3070</v>
      </c>
      <c r="H3" s="1440">
        <v>27.5</v>
      </c>
      <c r="I3" s="698" t="s">
        <v>2485</v>
      </c>
      <c r="K3" s="703" t="s">
        <v>3091</v>
      </c>
      <c r="M3" s="1467"/>
      <c r="O3" s="785"/>
    </row>
    <row r="4" spans="1:15" ht="13.5" customHeight="1">
      <c r="C4" s="698" t="s">
        <v>3579</v>
      </c>
      <c r="E4" s="784">
        <f>SUM('Part IV-A-Uses of Funds'!G85:H89)</f>
        <v>0</v>
      </c>
      <c r="F4" s="1467" t="s">
        <v>4522</v>
      </c>
      <c r="H4" s="699">
        <f>'Part III-Sources of Funds'!M37</f>
        <v>20</v>
      </c>
      <c r="I4" s="698" t="s">
        <v>2485</v>
      </c>
      <c r="K4" s="786" t="s">
        <v>3336</v>
      </c>
      <c r="M4" s="1467"/>
    </row>
    <row r="5" spans="1:15" ht="13.5" customHeight="1">
      <c r="C5" s="698" t="s">
        <v>3580</v>
      </c>
      <c r="E5" s="784">
        <f>SUM('Part IV-A-Uses of Funds'!G96:H102)</f>
        <v>180100</v>
      </c>
      <c r="F5" s="1467" t="s">
        <v>4521</v>
      </c>
      <c r="H5" s="1440">
        <v>15</v>
      </c>
      <c r="I5" s="698" t="s">
        <v>2485</v>
      </c>
      <c r="K5" s="785">
        <f>-E6</f>
        <v>-13348000</v>
      </c>
    </row>
    <row r="6" spans="1:15" ht="13.5" customHeight="1">
      <c r="C6" s="698" t="s">
        <v>3071</v>
      </c>
      <c r="E6" s="787">
        <f>'Part III-Sources of Funds'!$I$49+'Part III-Sources of Funds'!$I$50</f>
        <v>13348000</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86895.60981012875</v>
      </c>
      <c r="D9" s="792">
        <f>'Part VII-Pro Forma'!C30</f>
        <v>86809.434679728642</v>
      </c>
      <c r="E9" s="792">
        <f>'Part VII-Pro Forma'!D30</f>
        <v>85000.488046720682</v>
      </c>
      <c r="F9" s="792">
        <f>'Part VII-Pro Forma'!E30</f>
        <v>82982.114841052404</v>
      </c>
      <c r="G9" s="792">
        <f>'Part VII-Pro Forma'!F30</f>
        <v>80745.335702071185</v>
      </c>
      <c r="H9" s="792">
        <f>'Part VII-Pro Forma'!G30</f>
        <v>78279.835957034156</v>
      </c>
      <c r="I9" s="792">
        <f>'Part VII-Pro Forma'!H30</f>
        <v>75576.954243121814</v>
      </c>
      <c r="K9" s="785" t="e">
        <f>F24</f>
        <v>#VALUE!</v>
      </c>
      <c r="N9" s="793" t="s">
        <v>3077</v>
      </c>
    </row>
    <row r="10" spans="1:15" ht="13.5" customHeight="1">
      <c r="A10" s="698" t="s">
        <v>3076</v>
      </c>
      <c r="C10" s="1398">
        <f>'Part III-Sources of Funds'!I37-'Part VII-Pro Forma'!B37</f>
        <v>90790.003504079999</v>
      </c>
      <c r="D10" s="794">
        <f>'Part VII-Pro Forma'!B37-'Part VII-Pro Forma'!C37</f>
        <v>91702.076328228926</v>
      </c>
      <c r="E10" s="794">
        <f>'Part VII-Pro Forma'!C37-'Part VII-Pro Forma'!D37</f>
        <v>92623.311800295487</v>
      </c>
      <c r="F10" s="794">
        <f>'Part VII-Pro Forma'!D37-'Part VII-Pro Forma'!E37</f>
        <v>93553.801967882318</v>
      </c>
      <c r="G10" s="794">
        <f>'Part VII-Pro Forma'!E37-'Part VII-Pro Forma'!F37</f>
        <v>94493.639803298749</v>
      </c>
      <c r="H10" s="794">
        <f>'Part VII-Pro Forma'!F37-'Part VII-Pro Forma'!G37</f>
        <v>95442.919212850044</v>
      </c>
      <c r="I10" s="794">
        <f>'Part VII-Pro Forma'!G37-'Part VII-Pro Forma'!H37</f>
        <v>96401.735046220711</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-43050</v>
      </c>
      <c r="D13" s="1399">
        <f>'Part VII-Pro Forma'!C21</f>
        <v>-44341.5</v>
      </c>
      <c r="E13" s="1399">
        <f>'Part VII-Pro Forma'!D21</f>
        <v>-45671.744999999995</v>
      </c>
      <c r="F13" s="1399">
        <f>'Part VII-Pro Forma'!E21</f>
        <v>-47041.897349999999</v>
      </c>
      <c r="G13" s="1399">
        <f>'Part VII-Pro Forma'!F21</f>
        <v>-48453.154270499996</v>
      </c>
      <c r="H13" s="1399">
        <f>'Part VII-Pro Forma'!G21</f>
        <v>-49906.748898614991</v>
      </c>
      <c r="I13" s="1399">
        <f>'Part VII-Pro Forma'!H21</f>
        <v>-51403.951365573448</v>
      </c>
      <c r="K13" s="785" t="e">
        <f>C44</f>
        <v>#VALUE!</v>
      </c>
      <c r="O13" s="790"/>
    </row>
    <row r="14" spans="1:15" ht="13.5" customHeight="1">
      <c r="A14" s="796" t="s">
        <v>3583</v>
      </c>
      <c r="B14" s="797"/>
      <c r="C14" s="1399">
        <f>'Part VII-Pro Forma'!B29</f>
        <v>-1522</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411710.25454545452</v>
      </c>
      <c r="D15" s="799">
        <f t="shared" si="0"/>
        <v>411710.25454545452</v>
      </c>
      <c r="E15" s="799">
        <f t="shared" si="0"/>
        <v>411710.25454545452</v>
      </c>
      <c r="F15" s="799">
        <f t="shared" si="0"/>
        <v>411710.25454545452</v>
      </c>
      <c r="G15" s="799">
        <f t="shared" si="0"/>
        <v>411710.25454545452</v>
      </c>
      <c r="H15" s="799">
        <f t="shared" si="0"/>
        <v>411710.25454545452</v>
      </c>
      <c r="I15" s="799">
        <f t="shared" si="0"/>
        <v>411710.25454545452</v>
      </c>
      <c r="K15" s="785" t="e">
        <f>E44</f>
        <v>#VALUE!</v>
      </c>
      <c r="O15" s="790"/>
    </row>
    <row r="16" spans="1:15" ht="13.5" customHeight="1">
      <c r="A16" s="798" t="s">
        <v>3081</v>
      </c>
      <c r="C16" s="799">
        <f>IF(C$8&lt;=$H$4,($E$4/$H$4),0)+IF(C$8&lt;=$H$5,($E$5/$H$5),0)</f>
        <v>12006.666666666666</v>
      </c>
      <c r="D16" s="799">
        <f t="shared" ref="D16:I16" si="1">IF(D$8&lt;=$H$4,($E$4/$H$4),0)+IF(D$8&lt;=$H$5,($E$5/$H$5),0)</f>
        <v>12006.666666666666</v>
      </c>
      <c r="E16" s="799">
        <f t="shared" si="1"/>
        <v>12006.666666666666</v>
      </c>
      <c r="F16" s="799">
        <f t="shared" si="1"/>
        <v>12006.666666666666</v>
      </c>
      <c r="G16" s="799">
        <f t="shared" si="1"/>
        <v>12006.666666666666</v>
      </c>
      <c r="H16" s="799">
        <f t="shared" si="1"/>
        <v>12006.666666666666</v>
      </c>
      <c r="I16" s="799">
        <f t="shared" si="1"/>
        <v>12006.666666666666</v>
      </c>
      <c r="K16" s="785" t="e">
        <f>F44</f>
        <v>#VALUE!</v>
      </c>
      <c r="M16" s="698" t="s">
        <v>3085</v>
      </c>
      <c r="O16" s="790">
        <f>E3</f>
        <v>11322032</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8234205.0909090899</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3087826.9090909101</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940000</v>
      </c>
      <c r="D21" s="800">
        <f t="shared" ref="D21:I21" si="5">C21</f>
        <v>940000</v>
      </c>
      <c r="E21" s="800">
        <f t="shared" si="5"/>
        <v>940000</v>
      </c>
      <c r="F21" s="800">
        <f t="shared" si="5"/>
        <v>940000</v>
      </c>
      <c r="G21" s="800">
        <f t="shared" si="5"/>
        <v>940000</v>
      </c>
      <c r="H21" s="800">
        <f t="shared" si="5"/>
        <v>940000</v>
      </c>
      <c r="I21" s="800">
        <f t="shared" si="5"/>
        <v>940000</v>
      </c>
      <c r="J21" s="698" t="s">
        <v>245</v>
      </c>
      <c r="K21" s="785" t="e">
        <f>D64</f>
        <v>#VALUE!</v>
      </c>
      <c r="O21" s="790"/>
    </row>
    <row r="22" spans="1:17" ht="13.5" customHeight="1">
      <c r="A22" s="698" t="s">
        <v>3088</v>
      </c>
      <c r="C22" s="800">
        <f>C21</f>
        <v>940000</v>
      </c>
      <c r="D22" s="800">
        <f t="shared" ref="D22:I22" si="6">D21</f>
        <v>940000</v>
      </c>
      <c r="E22" s="800">
        <f t="shared" si="6"/>
        <v>940000</v>
      </c>
      <c r="F22" s="800">
        <f t="shared" si="6"/>
        <v>940000</v>
      </c>
      <c r="G22" s="800">
        <f t="shared" si="6"/>
        <v>940000</v>
      </c>
      <c r="H22" s="800">
        <f t="shared" si="6"/>
        <v>940000</v>
      </c>
      <c r="I22" s="800">
        <f t="shared" si="6"/>
        <v>940000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3087826.9090909101</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-3087826.9090909101</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72624.670761737609</v>
      </c>
      <c r="D29" s="792">
        <f>'Part VII-Pro Forma'!J30</f>
        <v>69412.595153536939</v>
      </c>
      <c r="E29" s="792">
        <f>'Part VII-Pro Forma'!K30</f>
        <v>65929.953982266874</v>
      </c>
      <c r="F29" s="792">
        <f>'Part VII-Pro Forma'!B60</f>
        <v>62165.57781513971</v>
      </c>
      <c r="G29" s="792">
        <f>'Part VII-Pro Forma'!C60</f>
        <v>58105.8878870642</v>
      </c>
      <c r="H29" s="792">
        <f>'Part VII-Pro Forma'!D60</f>
        <v>53738.882335694645</v>
      </c>
      <c r="I29" s="792">
        <f>'Part VII-Pro Forma'!E60</f>
        <v>49052.1219938219</v>
      </c>
      <c r="N29" s="803"/>
      <c r="O29" s="803"/>
    </row>
    <row r="30" spans="1:17" ht="13.5" customHeight="1">
      <c r="A30" s="698" t="s">
        <v>3076</v>
      </c>
      <c r="C30" s="794">
        <f>'Part VII-Pro Forma'!H37-'Part VII-Pro Forma'!I37</f>
        <v>97370.183105951408</v>
      </c>
      <c r="D30" s="794">
        <f>'Part VII-Pro Forma'!I37-'Part VII-Pro Forma'!J37</f>
        <v>98348.36015701131</v>
      </c>
      <c r="E30" s="794">
        <f>'Part VII-Pro Forma'!J37-'Part VII-Pro Forma'!K37</f>
        <v>99336.363936467096</v>
      </c>
      <c r="F30" s="1396">
        <f>'Part VII-Pro Forma'!K37-'Part VII-Pro Forma'!B67</f>
        <v>100334.29316324764</v>
      </c>
      <c r="G30" s="1396">
        <f>'Part VII-Pro Forma'!B67-'Part VII-Pro Forma'!C67</f>
        <v>101342.24754800834</v>
      </c>
      <c r="H30" s="1396">
        <f>'Part VII-Pro Forma'!C67-'Part VII-Pro Forma'!D67</f>
        <v>102360.32780309464</v>
      </c>
      <c r="I30" s="1396">
        <f>'Part VII-Pro Forma'!D67-'Part VII-Pro Forma'!E67</f>
        <v>103388.63565260358</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-617565.38181818207</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-52946.069906540652</v>
      </c>
      <c r="D33" s="1399">
        <f>'Part VII-Pro Forma'!J21</f>
        <v>-54534.452003736864</v>
      </c>
      <c r="E33" s="1399">
        <f>'Part VII-Pro Forma'!K21</f>
        <v>-56170.485563848975</v>
      </c>
      <c r="F33" s="1399">
        <f>'Part VII-Pro Forma'!B51</f>
        <v>-57855.60013076444</v>
      </c>
      <c r="G33" s="1399">
        <f>'Part VII-Pro Forma'!C51</f>
        <v>-59591.26813468738</v>
      </c>
      <c r="H33" s="1399">
        <f>'Part VII-Pro Forma'!D51</f>
        <v>-61379.006178727992</v>
      </c>
      <c r="I33" s="1399">
        <f>'Part VII-Pro Forma'!E51</f>
        <v>-63220.376364089825</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411710.25454545452</v>
      </c>
      <c r="D35" s="799">
        <f t="shared" si="8"/>
        <v>411710.25454545452</v>
      </c>
      <c r="E35" s="799">
        <f t="shared" si="8"/>
        <v>411710.25454545452</v>
      </c>
      <c r="F35" s="799">
        <f t="shared" si="8"/>
        <v>411710.25454545452</v>
      </c>
      <c r="G35" s="799">
        <f t="shared" si="8"/>
        <v>411710.25454545452</v>
      </c>
      <c r="H35" s="799">
        <f t="shared" si="8"/>
        <v>411710.25454545452</v>
      </c>
      <c r="I35" s="799">
        <f t="shared" si="8"/>
        <v>411710.25454545452</v>
      </c>
    </row>
    <row r="36" spans="1:15" ht="13.5" customHeight="1">
      <c r="A36" s="798" t="s">
        <v>3081</v>
      </c>
      <c r="C36" s="792">
        <f>IF(C$28&lt;=$H$4,($E$4/$H$4),0)+IF(C$28&lt;=$H$5,($E$5/$H$5),0)</f>
        <v>12006.666666666666</v>
      </c>
      <c r="D36" s="792">
        <f t="shared" ref="D36:I36" si="9">IF(D$28&lt;=$H$4,($E$4/$H$4),0)+IF(D$28&lt;=$H$5,($E$5/$H$5),0)</f>
        <v>12006.666666666666</v>
      </c>
      <c r="E36" s="792">
        <f t="shared" si="9"/>
        <v>12006.666666666666</v>
      </c>
      <c r="F36" s="792">
        <f t="shared" si="9"/>
        <v>12006.666666666666</v>
      </c>
      <c r="G36" s="792">
        <f t="shared" si="9"/>
        <v>12006.666666666666</v>
      </c>
      <c r="H36" s="792">
        <f t="shared" si="9"/>
        <v>12006.666666666666</v>
      </c>
      <c r="I36" s="792">
        <f t="shared" si="9"/>
        <v>12006.666666666666</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940000</v>
      </c>
      <c r="D41" s="800">
        <f>C41</f>
        <v>940000</v>
      </c>
      <c r="E41" s="800">
        <f>D41</f>
        <v>940000</v>
      </c>
      <c r="F41" s="800">
        <v>0</v>
      </c>
      <c r="G41" s="800">
        <v>0</v>
      </c>
      <c r="H41" s="800">
        <v>0</v>
      </c>
      <c r="I41" s="800">
        <v>0</v>
      </c>
    </row>
    <row r="42" spans="1:15" ht="13.5" customHeight="1">
      <c r="A42" s="698" t="s">
        <v>3088</v>
      </c>
      <c r="C42" s="800">
        <f>C22</f>
        <v>940000</v>
      </c>
      <c r="D42" s="800">
        <f>C42</f>
        <v>940000</v>
      </c>
      <c r="E42" s="800">
        <f>D42</f>
        <v>940000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44032.715725252485</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104427.27384254849</v>
      </c>
      <c r="D50" s="1397">
        <f>'Part VII-Pro Forma'!F67-'Part VII-Pro Forma'!G67</f>
        <v>105476.34615112568</v>
      </c>
      <c r="E50" s="1397">
        <f>'Part VII-Pro Forma'!G67-'Part VII-Pro Forma'!H67</f>
        <v>106535.9573990826</v>
      </c>
      <c r="F50" s="1397">
        <f>'Part VII-Pro Forma'!H67-'Part VII-Pro Forma'!I67</f>
        <v>107606.21346019208</v>
      </c>
      <c r="G50" s="1397">
        <f>'Part VII-Pro Forma'!I67-'Part VII-Pro Forma'!J67</f>
        <v>108687.22127183081</v>
      </c>
      <c r="H50" s="1397">
        <f>'Part VII-Pro Forma'!J67-'Part VII-Pro Forma'!K67</f>
        <v>109779.08884566395</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-65116.987655012526</v>
      </c>
      <c r="D53" s="1399">
        <f>'Part VII-Pro Forma'!G51</f>
        <v>-67070.49728466291</v>
      </c>
      <c r="E53" s="1399">
        <f>'Part VII-Pro Forma'!H51</f>
        <v>-69082.612203202778</v>
      </c>
      <c r="F53" s="1399">
        <f>'Part VII-Pro Forma'!I51</f>
        <v>-71155.09056929886</v>
      </c>
      <c r="G53" s="1399">
        <f>'Part VII-Pro Forma'!J51</f>
        <v>-73289.743286377838</v>
      </c>
      <c r="H53" s="1399">
        <f>'Part VII-Pro Forma'!K51</f>
        <v>-75488.435584969164</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411710.25454545452</v>
      </c>
      <c r="D55" s="799">
        <f t="shared" si="14"/>
        <v>411710.25454545452</v>
      </c>
      <c r="E55" s="799">
        <f t="shared" si="14"/>
        <v>411710.25454545452</v>
      </c>
      <c r="F55" s="799">
        <f t="shared" si="14"/>
        <v>411710.25454545452</v>
      </c>
      <c r="G55" s="799">
        <f t="shared" si="14"/>
        <v>411710.25454545452</v>
      </c>
      <c r="H55" s="799">
        <f t="shared" si="14"/>
        <v>411710.25454545452</v>
      </c>
    </row>
    <row r="56" spans="1:10" ht="13.5" customHeight="1">
      <c r="A56" s="798" t="s">
        <v>3081</v>
      </c>
      <c r="C56" s="792">
        <f t="shared" ref="C56:H56" si="15">IF(C$48&lt;=$H$4,($E$4/$H$4),0)+IF(C$48&lt;=$H$5,($E$5/$H$5),0)</f>
        <v>12006.666666666666</v>
      </c>
      <c r="D56" s="792">
        <f t="shared" si="15"/>
        <v>0</v>
      </c>
      <c r="E56" s="792">
        <f t="shared" si="15"/>
        <v>0</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3642" t="e">
        <f>IRR(K5:K25)</f>
        <v>#VALUE!</v>
      </c>
      <c r="H66" s="3643"/>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6" t="str">
        <f>CONCATENATE("PART ONE - PROJECT INFORMATION"," - ",$O$6," ",$F$34,", ",'Part I-Project Information'!F38,", ",'Part I-Project Information'!J39," County")</f>
        <v>PART ONE - PROJECT INFORMATION - 2018-017 Heritage Village at West Lake, Atlanta, Fulton County</v>
      </c>
      <c r="B1" s="2437"/>
      <c r="C1" s="2437"/>
      <c r="D1" s="2437"/>
      <c r="E1" s="2437"/>
      <c r="F1" s="2437"/>
      <c r="G1" s="2437"/>
      <c r="H1" s="2437"/>
      <c r="I1" s="2437"/>
      <c r="J1" s="2437"/>
      <c r="K1" s="2437"/>
      <c r="L1" s="2437"/>
      <c r="M1" s="2437"/>
      <c r="N1" s="2437"/>
      <c r="O1" s="2437"/>
      <c r="P1" s="2438"/>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5" t="s">
        <v>4518</v>
      </c>
      <c r="B3" s="2465"/>
      <c r="C3" s="2465"/>
      <c r="D3" s="2465"/>
      <c r="E3" s="2465"/>
      <c r="F3" s="2465"/>
      <c r="G3" s="2465"/>
      <c r="H3" s="2465"/>
      <c r="I3" s="2465"/>
      <c r="J3" s="2465"/>
      <c r="K3" s="2465"/>
      <c r="L3" s="2465"/>
      <c r="M3" s="2465"/>
      <c r="N3" s="2465"/>
      <c r="O3" s="2465"/>
      <c r="P3" s="2465"/>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2467" t="s">
        <v>4663</v>
      </c>
      <c r="C6" s="2467"/>
      <c r="D6" s="2467"/>
      <c r="E6" s="1433"/>
      <c r="F6" s="308"/>
      <c r="G6" s="279" t="s">
        <v>446</v>
      </c>
      <c r="H6" s="1571"/>
      <c r="I6" s="1571"/>
      <c r="J6" s="1571"/>
      <c r="O6" s="2439" t="s">
        <v>4715</v>
      </c>
      <c r="P6" s="2440"/>
    </row>
    <row r="7" spans="1:16" s="305" customFormat="1" ht="12" customHeight="1">
      <c r="B7" s="2467"/>
      <c r="C7" s="2467"/>
      <c r="D7" s="2467"/>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2441">
        <f>'Part IV-A-Uses of Funds'!$J$175</f>
        <v>940000</v>
      </c>
      <c r="J9" s="2442"/>
      <c r="L9" s="305" t="s">
        <v>3827</v>
      </c>
      <c r="O9" s="2443">
        <f>'Part III-Sources of Funds'!$E$11</f>
        <v>2000000</v>
      </c>
      <c r="P9" s="2444"/>
    </row>
    <row r="10" spans="1:16" s="305" customFormat="1" ht="6" customHeight="1">
      <c r="A10" s="307"/>
      <c r="B10" s="307"/>
      <c r="D10" s="280"/>
      <c r="E10" s="309"/>
      <c r="F10" s="309"/>
      <c r="I10" s="311"/>
      <c r="N10" s="312"/>
    </row>
    <row r="11" spans="1:16" s="305" customFormat="1" ht="13.15" customHeight="1">
      <c r="A11" s="311" t="s">
        <v>748</v>
      </c>
      <c r="B11" s="307" t="s">
        <v>2056</v>
      </c>
      <c r="F11" s="2445" t="s">
        <v>4626</v>
      </c>
      <c r="G11" s="2446"/>
      <c r="H11" s="2447"/>
      <c r="I11" s="2400" t="s">
        <v>3741</v>
      </c>
      <c r="J11" s="526" t="s">
        <v>3990</v>
      </c>
      <c r="K11" s="316"/>
      <c r="L11" s="1571"/>
      <c r="O11" s="2448" t="s">
        <v>4627</v>
      </c>
      <c r="P11" s="2449"/>
    </row>
    <row r="12" spans="1:16" s="305" customFormat="1" ht="12.75" customHeight="1">
      <c r="A12" s="501"/>
      <c r="B12" s="2466" t="s">
        <v>4519</v>
      </c>
      <c r="C12" s="2466"/>
      <c r="D12" s="2466"/>
      <c r="H12" s="1571"/>
      <c r="J12" s="527" t="s">
        <v>2751</v>
      </c>
      <c r="K12" s="277"/>
      <c r="M12" s="1571"/>
      <c r="O12" s="2470" t="s">
        <v>3014</v>
      </c>
      <c r="P12" s="2471"/>
    </row>
    <row r="13" spans="1:16" s="305" customFormat="1" ht="3" customHeight="1">
      <c r="A13" s="501"/>
      <c r="B13" s="2466"/>
      <c r="C13" s="2466"/>
      <c r="D13" s="2466"/>
      <c r="H13" s="1571"/>
      <c r="J13" s="527"/>
      <c r="K13" s="277"/>
      <c r="M13" s="1571"/>
    </row>
    <row r="14" spans="1:16" s="305" customFormat="1" ht="12.75" customHeight="1">
      <c r="A14" s="501"/>
      <c r="B14" s="2466"/>
      <c r="C14" s="2466"/>
      <c r="D14" s="2466"/>
      <c r="F14" s="2401" t="s">
        <v>3014</v>
      </c>
      <c r="G14" s="1559" t="s">
        <v>3824</v>
      </c>
    </row>
    <row r="15" spans="1:16" s="305" customFormat="1" ht="12.75" customHeight="1">
      <c r="A15" s="501"/>
      <c r="B15" s="305" t="s">
        <v>3900</v>
      </c>
      <c r="D15" s="316"/>
      <c r="F15" s="2472"/>
      <c r="G15" s="2473"/>
      <c r="H15" s="2473"/>
      <c r="I15" s="2473"/>
      <c r="J15" s="2473"/>
      <c r="K15" s="2474"/>
      <c r="L15" s="305" t="s">
        <v>3823</v>
      </c>
      <c r="O15" s="2475"/>
      <c r="P15" s="2476"/>
    </row>
    <row r="16" spans="1:16" s="305" customFormat="1" ht="12.75" customHeight="1">
      <c r="A16" s="501"/>
      <c r="B16" s="305" t="s">
        <v>3825</v>
      </c>
      <c r="F16" s="2401"/>
      <c r="G16" s="305" t="s">
        <v>3882</v>
      </c>
      <c r="H16" s="1571"/>
      <c r="I16" s="179"/>
      <c r="J16" s="527"/>
      <c r="M16" s="2477" t="s">
        <v>2904</v>
      </c>
      <c r="N16" s="2478"/>
      <c r="O16" s="2478"/>
      <c r="P16" s="2479"/>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2462" t="s">
        <v>4551</v>
      </c>
      <c r="G20" s="2463"/>
      <c r="H20" s="2464"/>
      <c r="I20" s="305" t="s">
        <v>1810</v>
      </c>
      <c r="J20" s="2462" t="s">
        <v>4552</v>
      </c>
      <c r="K20" s="2463"/>
      <c r="L20" s="2464"/>
      <c r="M20" s="340" t="s">
        <v>1996</v>
      </c>
      <c r="N20" s="2475" t="s">
        <v>4553</v>
      </c>
      <c r="O20" s="2480"/>
      <c r="P20" s="2476"/>
    </row>
    <row r="21" spans="1:16" s="305" customFormat="1" ht="13.15" customHeight="1">
      <c r="B21" s="310" t="s">
        <v>1997</v>
      </c>
      <c r="F21" s="2450" t="s">
        <v>4554</v>
      </c>
      <c r="G21" s="2451"/>
      <c r="H21" s="2451"/>
      <c r="I21" s="2452"/>
      <c r="J21" s="2451"/>
      <c r="K21" s="2452"/>
      <c r="L21" s="2453"/>
      <c r="M21" s="2457" t="s">
        <v>3910</v>
      </c>
      <c r="N21" s="2458"/>
      <c r="O21" s="2458"/>
      <c r="P21" s="2458"/>
    </row>
    <row r="22" spans="1:16" s="305" customFormat="1" ht="13.15" customHeight="1">
      <c r="B22" s="310" t="s">
        <v>624</v>
      </c>
      <c r="F22" s="2450" t="s">
        <v>1217</v>
      </c>
      <c r="G22" s="2451"/>
      <c r="H22" s="2456"/>
      <c r="I22" s="310" t="s">
        <v>1812</v>
      </c>
      <c r="J22" s="2402" t="s">
        <v>856</v>
      </c>
      <c r="M22" s="2457"/>
      <c r="N22" s="2457"/>
      <c r="O22" s="2457"/>
      <c r="P22" s="2457"/>
    </row>
    <row r="23" spans="1:16" s="305" customFormat="1" ht="13.15" customHeight="1">
      <c r="B23" s="1559" t="s">
        <v>2245</v>
      </c>
      <c r="F23" s="2459">
        <v>303092496</v>
      </c>
      <c r="G23" s="2460"/>
      <c r="H23" s="2461"/>
      <c r="I23" s="310" t="s">
        <v>1733</v>
      </c>
      <c r="J23" s="2482">
        <v>9047463325</v>
      </c>
      <c r="K23" s="2455"/>
      <c r="L23" s="1561" t="s">
        <v>1732</v>
      </c>
      <c r="M23" s="2363"/>
      <c r="N23" s="1559" t="s">
        <v>1734</v>
      </c>
      <c r="O23" s="2454"/>
      <c r="P23" s="2455"/>
    </row>
    <row r="24" spans="1:16" s="305" customFormat="1" ht="13.15" customHeight="1">
      <c r="B24" s="1559" t="s">
        <v>2000</v>
      </c>
      <c r="F24" s="2483" t="s">
        <v>4555</v>
      </c>
      <c r="G24" s="2484"/>
      <c r="H24" s="2484"/>
      <c r="I24" s="2480"/>
      <c r="J24" s="2484"/>
      <c r="K24" s="2485"/>
      <c r="N24" s="1559" t="s">
        <v>1995</v>
      </c>
      <c r="O24" s="2468">
        <v>4048676921</v>
      </c>
      <c r="P24" s="2469"/>
    </row>
    <row r="25" spans="1:16" s="305" customFormat="1" ht="13.5" customHeight="1">
      <c r="A25" s="501"/>
      <c r="B25" s="307" t="s">
        <v>4537</v>
      </c>
      <c r="C25" s="314"/>
      <c r="D25" s="1570"/>
      <c r="E25" s="1570"/>
      <c r="F25" s="1570"/>
      <c r="H25" s="1571"/>
      <c r="I25" s="1570"/>
      <c r="J25" s="314"/>
      <c r="K25" s="1570"/>
      <c r="P25" s="315"/>
    </row>
    <row r="26" spans="1:16" s="305" customFormat="1" ht="13.15" customHeight="1">
      <c r="B26" s="305" t="s">
        <v>3911</v>
      </c>
      <c r="F26" s="2462" t="s">
        <v>4628</v>
      </c>
      <c r="G26" s="2463"/>
      <c r="H26" s="2464"/>
      <c r="I26" s="305" t="s">
        <v>1810</v>
      </c>
      <c r="J26" s="2462" t="s">
        <v>4629</v>
      </c>
      <c r="K26" s="2463"/>
      <c r="L26" s="2464"/>
      <c r="M26" s="340" t="s">
        <v>1996</v>
      </c>
      <c r="N26" s="2475" t="s">
        <v>4630</v>
      </c>
      <c r="O26" s="2480"/>
      <c r="P26" s="2476"/>
    </row>
    <row r="27" spans="1:16" s="305" customFormat="1" ht="13.15" customHeight="1">
      <c r="B27" s="310" t="s">
        <v>1997</v>
      </c>
      <c r="F27" s="2450" t="s">
        <v>4631</v>
      </c>
      <c r="G27" s="2451"/>
      <c r="H27" s="2451"/>
      <c r="I27" s="2452"/>
      <c r="J27" s="2451"/>
      <c r="K27" s="2452"/>
      <c r="L27" s="2453"/>
      <c r="M27" s="2457" t="s">
        <v>3910</v>
      </c>
      <c r="N27" s="2458"/>
      <c r="O27" s="2458"/>
      <c r="P27" s="2458"/>
    </row>
    <row r="28" spans="1:16" s="305" customFormat="1" ht="13.15" customHeight="1">
      <c r="B28" s="310" t="s">
        <v>624</v>
      </c>
      <c r="F28" s="2450" t="s">
        <v>1217</v>
      </c>
      <c r="G28" s="2451"/>
      <c r="H28" s="2456"/>
      <c r="I28" s="310" t="s">
        <v>1812</v>
      </c>
      <c r="J28" s="2402" t="s">
        <v>856</v>
      </c>
      <c r="M28" s="2457"/>
      <c r="N28" s="2457"/>
      <c r="O28" s="2457"/>
      <c r="P28" s="2457"/>
    </row>
    <row r="29" spans="1:16" s="305" customFormat="1" ht="13.15" customHeight="1">
      <c r="B29" s="1559" t="s">
        <v>2245</v>
      </c>
      <c r="F29" s="2459">
        <v>303143377</v>
      </c>
      <c r="G29" s="2460"/>
      <c r="H29" s="2461"/>
      <c r="I29" s="310" t="s">
        <v>1733</v>
      </c>
      <c r="J29" s="2482"/>
      <c r="K29" s="2455"/>
      <c r="L29" s="1561" t="s">
        <v>1732</v>
      </c>
      <c r="M29" s="2363"/>
      <c r="N29" s="1559" t="s">
        <v>1734</v>
      </c>
      <c r="O29" s="2454">
        <v>6787055318</v>
      </c>
      <c r="P29" s="2455"/>
    </row>
    <row r="30" spans="1:16" s="305" customFormat="1" ht="13.15" customHeight="1">
      <c r="B30" s="1559" t="s">
        <v>2000</v>
      </c>
      <c r="F30" s="2483" t="s">
        <v>4632</v>
      </c>
      <c r="G30" s="2484"/>
      <c r="H30" s="2484"/>
      <c r="I30" s="2480"/>
      <c r="J30" s="2484"/>
      <c r="K30" s="2485"/>
      <c r="N30" s="1559" t="s">
        <v>1995</v>
      </c>
      <c r="O30" s="2468"/>
      <c r="P30" s="2469"/>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4" t="s">
        <v>4625</v>
      </c>
      <c r="G34" s="2495"/>
      <c r="H34" s="2495"/>
      <c r="I34" s="2495"/>
      <c r="J34" s="2495"/>
      <c r="K34" s="2496"/>
      <c r="L34" s="1559" t="s">
        <v>2208</v>
      </c>
      <c r="O34" s="2462" t="s">
        <v>3014</v>
      </c>
      <c r="P34" s="2464"/>
    </row>
    <row r="35" spans="1:16" s="305" customFormat="1" ht="13.15" customHeight="1">
      <c r="A35" s="317"/>
      <c r="B35" s="305" t="s">
        <v>2716</v>
      </c>
      <c r="D35" s="318"/>
      <c r="F35" s="2497" t="s">
        <v>4633</v>
      </c>
      <c r="G35" s="2498"/>
      <c r="H35" s="2498"/>
      <c r="I35" s="2498"/>
      <c r="J35" s="2498"/>
      <c r="K35" s="2499"/>
      <c r="L35" s="305" t="s">
        <v>3708</v>
      </c>
      <c r="O35" s="2481"/>
      <c r="P35" s="2456"/>
    </row>
    <row r="36" spans="1:16" s="305" customFormat="1" ht="13.15" customHeight="1">
      <c r="A36" s="317"/>
      <c r="B36" s="305" t="s">
        <v>2752</v>
      </c>
      <c r="D36" s="318"/>
      <c r="F36" s="2481"/>
      <c r="G36" s="2451"/>
      <c r="H36" s="2451"/>
      <c r="I36" s="2452"/>
      <c r="J36" s="2451"/>
      <c r="K36" s="2456"/>
      <c r="L36" s="1559" t="s">
        <v>2066</v>
      </c>
      <c r="N36" s="2363" t="s">
        <v>3014</v>
      </c>
      <c r="O36" s="1571" t="s">
        <v>3707</v>
      </c>
      <c r="P36" s="2361"/>
    </row>
    <row r="37" spans="1:16" s="305" customFormat="1" ht="13.15" customHeight="1">
      <c r="A37" s="317"/>
      <c r="B37" s="305" t="s">
        <v>3763</v>
      </c>
      <c r="D37" s="318"/>
      <c r="F37" s="305" t="s">
        <v>3743</v>
      </c>
      <c r="G37" s="2486">
        <v>33.760475</v>
      </c>
      <c r="H37" s="2487"/>
      <c r="I37" s="1561" t="s">
        <v>3744</v>
      </c>
      <c r="J37" s="2486">
        <v>-84.443042000000005</v>
      </c>
      <c r="K37" s="2487"/>
      <c r="L37" s="1559" t="s">
        <v>2299</v>
      </c>
      <c r="O37" s="2488">
        <v>3.06</v>
      </c>
      <c r="P37" s="2489"/>
    </row>
    <row r="38" spans="1:16" s="305" customFormat="1" ht="13.15" customHeight="1">
      <c r="A38" s="501"/>
      <c r="B38" s="305" t="s">
        <v>624</v>
      </c>
      <c r="F38" s="2462" t="s">
        <v>1217</v>
      </c>
      <c r="G38" s="2490"/>
      <c r="H38" s="2491"/>
      <c r="I38" s="322" t="s">
        <v>2717</v>
      </c>
      <c r="J38" s="2459">
        <v>303186461</v>
      </c>
      <c r="K38" s="2461"/>
      <c r="L38" s="380" t="str">
        <f>IF(AND(NOT(F34=""),NOT(F38="Select from list"),J38=""),"Enter Zip!","")</f>
        <v/>
      </c>
      <c r="M38" s="320" t="s">
        <v>2926</v>
      </c>
      <c r="O38" s="2492" t="s">
        <v>4634</v>
      </c>
      <c r="P38" s="2493"/>
    </row>
    <row r="39" spans="1:16" s="305" customFormat="1" ht="13.15" customHeight="1">
      <c r="A39" s="501"/>
      <c r="B39" s="1570" t="s">
        <v>3592</v>
      </c>
      <c r="D39" s="1570"/>
      <c r="F39" s="2481" t="s">
        <v>4559</v>
      </c>
      <c r="G39" s="2452"/>
      <c r="H39" s="2453"/>
      <c r="I39" s="319" t="s">
        <v>625</v>
      </c>
      <c r="J39" s="2506" t="str">
        <f>IF($F$38="","",VLOOKUP($F$38,'DCA Underwriting Assumptions'!$T$155:$U$785,2,FALSE))</f>
        <v>Fulton</v>
      </c>
      <c r="K39" s="2507"/>
      <c r="M39" s="1559" t="s">
        <v>455</v>
      </c>
      <c r="N39" s="2403" t="s">
        <v>3011</v>
      </c>
      <c r="O39" s="1571" t="s">
        <v>456</v>
      </c>
      <c r="P39" s="2404" t="s">
        <v>3014</v>
      </c>
    </row>
    <row r="40" spans="1:16" s="305" customFormat="1" ht="13.15" customHeight="1">
      <c r="A40" s="501"/>
      <c r="B40" s="307"/>
      <c r="C40" s="305" t="s">
        <v>1570</v>
      </c>
      <c r="F40" s="2405" t="s">
        <v>3014</v>
      </c>
      <c r="G40" s="2508" t="s">
        <v>2799</v>
      </c>
      <c r="H40" s="2509"/>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2510" t="str">
        <f>IF($F$38="","",VLOOKUP($J$39,'DCA Underwriting Assumptions'!$G$155:$L$314,3,FALSE))</f>
        <v>Atlanta-Sandy Springs-Marietta</v>
      </c>
      <c r="P40" s="2511"/>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2512" t="s">
        <v>2780</v>
      </c>
      <c r="G42" s="2512"/>
      <c r="H42" s="2513" t="s">
        <v>744</v>
      </c>
      <c r="I42" s="2513"/>
      <c r="J42" s="2513" t="s">
        <v>745</v>
      </c>
      <c r="K42" s="2513"/>
      <c r="L42" s="520" t="s">
        <v>2718</v>
      </c>
    </row>
    <row r="43" spans="1:16" s="305" customFormat="1" ht="13.15" customHeight="1">
      <c r="A43" s="501"/>
      <c r="B43" s="305" t="s">
        <v>2779</v>
      </c>
      <c r="D43" s="307"/>
      <c r="F43" s="2500">
        <v>5</v>
      </c>
      <c r="G43" s="2501"/>
      <c r="H43" s="2500">
        <v>39</v>
      </c>
      <c r="I43" s="2501"/>
      <c r="J43" s="2500">
        <v>56</v>
      </c>
      <c r="K43" s="2501"/>
      <c r="L43" s="516" t="s">
        <v>1295</v>
      </c>
      <c r="N43" s="2502" t="s">
        <v>1296</v>
      </c>
      <c r="O43" s="2502"/>
      <c r="P43" s="2502"/>
    </row>
    <row r="44" spans="1:16" s="305" customFormat="1" ht="12.75" customHeight="1">
      <c r="A44" s="501"/>
      <c r="B44" s="310" t="s">
        <v>746</v>
      </c>
      <c r="F44" s="2503"/>
      <c r="G44" s="2504"/>
      <c r="H44" s="2503"/>
      <c r="I44" s="2504"/>
      <c r="J44" s="2503"/>
      <c r="K44" s="2504"/>
      <c r="L44" s="516" t="s">
        <v>2778</v>
      </c>
      <c r="N44" s="2505" t="s">
        <v>2777</v>
      </c>
      <c r="O44" s="2505"/>
    </row>
    <row r="45" spans="1:16" s="305" customFormat="1" ht="3" customHeight="1">
      <c r="A45" s="501"/>
      <c r="I45" s="1580"/>
      <c r="J45" s="1580"/>
      <c r="K45" s="1580"/>
      <c r="L45" s="1570"/>
      <c r="M45" s="1570"/>
      <c r="N45" s="1570"/>
      <c r="O45" s="1570"/>
      <c r="P45" s="1570"/>
    </row>
    <row r="46" spans="1:16" s="305" customFormat="1" ht="13.15" customHeight="1">
      <c r="A46" s="501"/>
      <c r="B46" s="307" t="s">
        <v>643</v>
      </c>
      <c r="F46" s="2525" t="s">
        <v>3687</v>
      </c>
      <c r="G46" s="2526"/>
      <c r="H46" s="2526"/>
      <c r="I46" s="2527"/>
      <c r="J46" s="2526"/>
      <c r="K46" s="2528"/>
      <c r="L46" s="930" t="s">
        <v>2722</v>
      </c>
      <c r="M46" s="2475" t="s">
        <v>4562</v>
      </c>
      <c r="N46" s="2480"/>
      <c r="O46" s="2480"/>
      <c r="P46" s="2476"/>
    </row>
    <row r="47" spans="1:16" s="305" customFormat="1" ht="13.15" customHeight="1">
      <c r="A47" s="501"/>
      <c r="B47" s="305" t="s">
        <v>644</v>
      </c>
      <c r="F47" s="2529" t="s">
        <v>4560</v>
      </c>
      <c r="G47" s="2530"/>
      <c r="H47" s="2531"/>
      <c r="I47" s="1562" t="s">
        <v>1996</v>
      </c>
      <c r="J47" s="2497" t="s">
        <v>4561</v>
      </c>
      <c r="K47" s="2499"/>
      <c r="L47" s="930"/>
    </row>
    <row r="48" spans="1:16" s="305" customFormat="1" ht="13.15" customHeight="1">
      <c r="A48" s="501"/>
      <c r="B48" s="305" t="s">
        <v>1997</v>
      </c>
      <c r="F48" s="2532" t="s">
        <v>4563</v>
      </c>
      <c r="G48" s="2533"/>
      <c r="H48" s="2534"/>
      <c r="I48" s="2526"/>
      <c r="J48" s="2533"/>
      <c r="K48" s="2535"/>
      <c r="L48" s="341" t="s">
        <v>624</v>
      </c>
      <c r="M48" s="2536" t="s">
        <v>1217</v>
      </c>
      <c r="N48" s="2537"/>
      <c r="O48" s="2537"/>
      <c r="P48" s="2538"/>
    </row>
    <row r="49" spans="1:19" s="305" customFormat="1" ht="13.15" customHeight="1">
      <c r="A49" s="501"/>
      <c r="B49" s="1559" t="s">
        <v>2245</v>
      </c>
      <c r="F49" s="2514">
        <v>303033520</v>
      </c>
      <c r="G49" s="2515"/>
      <c r="H49" s="1561" t="s">
        <v>1998</v>
      </c>
      <c r="I49" s="2516">
        <v>4043306100</v>
      </c>
      <c r="J49" s="2517"/>
      <c r="K49" s="2518"/>
      <c r="L49" s="310" t="s">
        <v>1813</v>
      </c>
      <c r="M49" s="2519" t="s">
        <v>4564</v>
      </c>
      <c r="N49" s="2520"/>
      <c r="O49" s="2520"/>
      <c r="P49" s="2521"/>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0</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123</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2406">
        <v>18992</v>
      </c>
      <c r="Q57" s="1571"/>
    </row>
    <row r="58" spans="1:19" s="305" customFormat="1" ht="3.6" customHeight="1">
      <c r="A58" s="501"/>
      <c r="P58" s="1570"/>
    </row>
    <row r="59" spans="1:19" s="305" customFormat="1">
      <c r="A59" s="501"/>
      <c r="B59" s="501" t="s">
        <v>2001</v>
      </c>
      <c r="C59" s="307" t="s">
        <v>2312</v>
      </c>
      <c r="H59" s="2407"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123</v>
      </c>
      <c r="I62" s="679">
        <f>SUM(I63:I64)</f>
        <v>0</v>
      </c>
      <c r="J62" s="501"/>
      <c r="K62" s="314" t="s">
        <v>2791</v>
      </c>
      <c r="M62" s="1570"/>
      <c r="N62" s="1570"/>
      <c r="O62" s="1570"/>
      <c r="P62" s="897">
        <f>'Part VI-Revenues &amp; Expenses'!$O$115</f>
        <v>73080</v>
      </c>
    </row>
    <row r="63" spans="1:19" s="305" customFormat="1" ht="13.15" customHeight="1">
      <c r="A63" s="501"/>
      <c r="B63" s="324"/>
      <c r="D63" s="329" t="s">
        <v>387</v>
      </c>
      <c r="E63" s="1570"/>
      <c r="H63" s="897">
        <f>'Part VI-Revenues &amp; Expenses'!$O$57</f>
        <v>25</v>
      </c>
      <c r="I63" s="897">
        <f>'Part VI-Revenues &amp; Expenses'!$O$65</f>
        <v>0</v>
      </c>
      <c r="K63" s="314" t="s">
        <v>2792</v>
      </c>
      <c r="M63" s="1570"/>
      <c r="N63" s="1570"/>
      <c r="O63" s="1570"/>
      <c r="P63" s="1173">
        <f>'Part VI-Revenues &amp; Expenses'!$O$116</f>
        <v>0</v>
      </c>
    </row>
    <row r="64" spans="1:19" s="305" customFormat="1" ht="13.15" customHeight="1">
      <c r="A64" s="501"/>
      <c r="D64" s="329" t="s">
        <v>1834</v>
      </c>
      <c r="E64" s="329"/>
      <c r="H64" s="898">
        <f>'Part VI-Revenues &amp; Expenses'!$O$56</f>
        <v>98</v>
      </c>
      <c r="I64" s="898">
        <f>'Part VI-Revenues &amp; Expenses'!$O$64</f>
        <v>0</v>
      </c>
      <c r="K64" s="314" t="s">
        <v>2793</v>
      </c>
      <c r="M64" s="1570"/>
      <c r="N64" s="1570"/>
      <c r="O64" s="1570"/>
      <c r="P64" s="897">
        <f>P62+P63</f>
        <v>73080</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123</v>
      </c>
      <c r="J66" s="501"/>
      <c r="K66" s="314" t="s">
        <v>1432</v>
      </c>
      <c r="M66" s="1570"/>
      <c r="N66" s="1570"/>
      <c r="O66" s="1570"/>
      <c r="P66" s="328">
        <f>+P64+P65</f>
        <v>73080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123</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2408">
        <v>1</v>
      </c>
      <c r="K70" s="314" t="s">
        <v>4102</v>
      </c>
      <c r="O70" s="1570"/>
      <c r="P70" s="2409">
        <v>9510</v>
      </c>
    </row>
    <row r="71" spans="1:16" s="305" customFormat="1" ht="13.15" customHeight="1">
      <c r="A71" s="501"/>
      <c r="B71" s="501"/>
      <c r="D71" s="1560" t="s">
        <v>2013</v>
      </c>
      <c r="H71" s="2410"/>
      <c r="I71" s="1570"/>
      <c r="K71" s="314" t="s">
        <v>254</v>
      </c>
      <c r="O71" s="1570"/>
      <c r="P71" s="328">
        <f>+P66+P70</f>
        <v>82590</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2409">
        <v>123</v>
      </c>
      <c r="K74" s="2539" t="s">
        <v>3883</v>
      </c>
      <c r="L74" s="2539"/>
      <c r="M74" s="2539"/>
      <c r="N74" s="2539"/>
      <c r="O74" s="2539"/>
      <c r="P74" s="2539"/>
    </row>
    <row r="75" spans="1:16" s="305" customFormat="1" ht="4.5" customHeight="1">
      <c r="A75" s="501"/>
      <c r="B75" s="501"/>
      <c r="C75" s="314"/>
      <c r="D75" s="1570"/>
      <c r="E75" s="1570"/>
      <c r="F75" s="1570"/>
      <c r="G75" s="1571"/>
      <c r="H75" s="1570"/>
      <c r="I75" s="314"/>
      <c r="J75" s="314"/>
      <c r="K75" s="2539"/>
      <c r="L75" s="2539"/>
      <c r="M75" s="2539"/>
      <c r="N75" s="2539"/>
      <c r="O75" s="2539"/>
      <c r="P75" s="2539"/>
    </row>
    <row r="76" spans="1:16" s="305" customFormat="1" ht="13.15" customHeight="1">
      <c r="A76" s="501" t="s">
        <v>535</v>
      </c>
      <c r="B76" s="330" t="s">
        <v>1202</v>
      </c>
      <c r="D76" s="330"/>
      <c r="E76" s="330"/>
      <c r="F76" s="1570"/>
      <c r="G76" s="1571"/>
      <c r="H76" s="531"/>
      <c r="K76" s="2539"/>
      <c r="L76" s="2539"/>
      <c r="M76" s="2539"/>
      <c r="N76" s="2539"/>
      <c r="O76" s="2539"/>
      <c r="P76" s="2539"/>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2522" t="s">
        <v>4649</v>
      </c>
      <c r="I78" s="2523"/>
      <c r="K78" s="2524" t="s">
        <v>1785</v>
      </c>
      <c r="L78" s="2524"/>
      <c r="M78" s="2475" t="s">
        <v>4650</v>
      </c>
      <c r="N78" s="2480"/>
      <c r="O78" s="2480"/>
      <c r="P78" s="2476"/>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2551" t="s">
        <v>3905</v>
      </c>
      <c r="I80" s="2551"/>
      <c r="K80" s="331" t="s">
        <v>2932</v>
      </c>
      <c r="L80" s="2408"/>
      <c r="M80" s="331" t="s">
        <v>2933</v>
      </c>
      <c r="N80" s="2408"/>
      <c r="P80" s="318" t="s">
        <v>3907</v>
      </c>
    </row>
    <row r="81" spans="1:16" s="305" customFormat="1" ht="13.15" customHeight="1">
      <c r="A81" s="501"/>
      <c r="B81" s="501"/>
      <c r="D81" s="1559"/>
      <c r="E81" s="1563"/>
      <c r="H81" s="2551"/>
      <c r="I81" s="2551"/>
      <c r="K81" s="318" t="s">
        <v>2934</v>
      </c>
      <c r="L81" s="2410"/>
      <c r="M81" s="318" t="s">
        <v>3906</v>
      </c>
      <c r="N81" s="2410"/>
      <c r="P81" s="2411">
        <v>123</v>
      </c>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7</v>
      </c>
      <c r="K83" s="2524" t="s">
        <v>525</v>
      </c>
      <c r="L83" s="2524"/>
      <c r="N83" s="332">
        <f>IF('Part VI-Revenues &amp; Expenses'!$O$62=0,0,H83/'Part VI-Revenues &amp; Expenses'!$O$62)</f>
        <v>5.6910569105691054E-2</v>
      </c>
      <c r="O83" s="318" t="s">
        <v>3722</v>
      </c>
      <c r="P83" s="1002">
        <f>'DCA Underwriting Assumptions'!$Q$136</f>
        <v>0.05</v>
      </c>
    </row>
    <row r="84" spans="1:16" s="305" customFormat="1" ht="12.75" customHeight="1">
      <c r="A84" s="501"/>
      <c r="B84" s="501"/>
      <c r="D84" s="1560" t="s">
        <v>2859</v>
      </c>
      <c r="E84" s="1560"/>
      <c r="F84" s="1560" t="s">
        <v>804</v>
      </c>
      <c r="H84" s="328">
        <f>'Part VIII-Threshold Criteria'!K303</f>
        <v>3</v>
      </c>
      <c r="K84" s="1570" t="s">
        <v>2860</v>
      </c>
      <c r="L84" s="1570"/>
      <c r="N84" s="332">
        <f>IF(H83=0,0,H84/H83)</f>
        <v>0.42857142857142855</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3</v>
      </c>
      <c r="K86" s="2524" t="s">
        <v>525</v>
      </c>
      <c r="L86" s="2524"/>
      <c r="N86" s="332">
        <f>IF('Part VI-Revenues &amp; Expenses'!$O$62=0,0,H86/'Part VI-Revenues &amp; Expenses'!$O$62)</f>
        <v>2.4390243902439025E-2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2552" t="s">
        <v>878</v>
      </c>
      <c r="I90" s="2553"/>
      <c r="J90" s="255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2407" t="s">
        <v>3011</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2407"/>
      <c r="K96" s="329" t="s">
        <v>3929</v>
      </c>
      <c r="L96" s="2407"/>
      <c r="O96" s="312" t="s">
        <v>3923</v>
      </c>
      <c r="P96" s="2407"/>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2407" t="s">
        <v>3011</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2475" t="s">
        <v>2837</v>
      </c>
      <c r="I100" s="2476"/>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2462"/>
      <c r="F104" s="2463"/>
      <c r="G104" s="2463"/>
      <c r="H104" s="2463"/>
      <c r="I104" s="2463"/>
      <c r="J104" s="2463"/>
      <c r="K104" s="2463"/>
      <c r="L104" s="2464"/>
      <c r="M104" s="2540" t="s">
        <v>558</v>
      </c>
      <c r="N104" s="2540"/>
      <c r="O104" s="2541"/>
      <c r="P104" s="2542"/>
    </row>
    <row r="105" spans="1:16" s="305" customFormat="1" ht="13.15" customHeight="1">
      <c r="C105" s="310" t="s">
        <v>1031</v>
      </c>
      <c r="D105" s="318"/>
      <c r="E105" s="2450"/>
      <c r="F105" s="2451"/>
      <c r="G105" s="2451"/>
      <c r="H105" s="2452"/>
      <c r="I105" s="2451"/>
      <c r="J105" s="2452"/>
      <c r="K105" s="2451"/>
      <c r="L105" s="2456"/>
      <c r="M105" s="2540" t="s">
        <v>816</v>
      </c>
      <c r="N105" s="2540"/>
      <c r="O105" s="2543"/>
      <c r="P105" s="2544"/>
    </row>
    <row r="106" spans="1:16" s="305" customFormat="1" ht="13.15" customHeight="1">
      <c r="C106" s="310" t="s">
        <v>624</v>
      </c>
      <c r="E106" s="2497"/>
      <c r="F106" s="2545"/>
      <c r="G106" s="2546"/>
      <c r="H106" s="1561" t="s">
        <v>1812</v>
      </c>
      <c r="I106" s="2412"/>
      <c r="J106" s="335" t="s">
        <v>2245</v>
      </c>
      <c r="K106" s="2547"/>
      <c r="L106" s="2548"/>
      <c r="M106" s="280" t="s">
        <v>3689</v>
      </c>
      <c r="N106" s="280"/>
      <c r="O106" s="2549"/>
      <c r="P106" s="2550"/>
    </row>
    <row r="107" spans="1:16" s="305" customFormat="1" ht="13.15" customHeight="1">
      <c r="C107" s="305" t="s">
        <v>2210</v>
      </c>
      <c r="E107" s="2497"/>
      <c r="F107" s="2545"/>
      <c r="G107" s="2546"/>
      <c r="H107" s="1039" t="s">
        <v>1996</v>
      </c>
      <c r="I107" s="2565"/>
      <c r="J107" s="2566"/>
      <c r="K107" s="2567"/>
      <c r="L107" s="1581" t="s">
        <v>2000</v>
      </c>
      <c r="M107" s="2462"/>
      <c r="N107" s="2568"/>
      <c r="O107" s="2569"/>
      <c r="P107" s="2570"/>
    </row>
    <row r="108" spans="1:16" s="305" customFormat="1" ht="13.15" customHeight="1">
      <c r="C108" s="310" t="s">
        <v>2209</v>
      </c>
      <c r="E108" s="2468"/>
      <c r="F108" s="2571"/>
      <c r="G108" s="2469"/>
      <c r="H108" s="1039" t="s">
        <v>1815</v>
      </c>
      <c r="I108" s="2468"/>
      <c r="J108" s="2572"/>
      <c r="K108" s="1561" t="s">
        <v>2722</v>
      </c>
      <c r="L108" s="2472"/>
      <c r="M108" s="2573"/>
      <c r="N108" s="2573"/>
      <c r="O108" s="2573"/>
      <c r="P108" s="257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2413">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2414">
        <v>1900000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2555" t="s">
        <v>4628</v>
      </c>
      <c r="D120" s="2556"/>
      <c r="E120" s="2556"/>
      <c r="F120" s="2557" t="s">
        <v>4625</v>
      </c>
      <c r="G120" s="2558"/>
      <c r="H120" s="2559"/>
      <c r="I120" s="2415" t="s">
        <v>4565</v>
      </c>
      <c r="J120" s="2555">
        <v>7</v>
      </c>
      <c r="K120" s="2556"/>
      <c r="L120" s="2556"/>
      <c r="M120" s="2557"/>
      <c r="N120" s="2558"/>
      <c r="O120" s="2559"/>
      <c r="P120" s="2416"/>
    </row>
    <row r="121" spans="1:16" s="305" customFormat="1" ht="13.15" customHeight="1">
      <c r="A121" s="501"/>
      <c r="B121" s="501"/>
      <c r="C121" s="2560" t="s">
        <v>4566</v>
      </c>
      <c r="D121" s="2561"/>
      <c r="E121" s="2561"/>
      <c r="F121" s="2562" t="s">
        <v>4558</v>
      </c>
      <c r="G121" s="2563"/>
      <c r="H121" s="2564"/>
      <c r="I121" s="2417" t="s">
        <v>4565</v>
      </c>
      <c r="J121" s="2560">
        <v>8</v>
      </c>
      <c r="K121" s="2561"/>
      <c r="L121" s="2561"/>
      <c r="M121" s="2562"/>
      <c r="N121" s="2563"/>
      <c r="O121" s="2564"/>
      <c r="P121" s="2418"/>
    </row>
    <row r="122" spans="1:16" s="305" customFormat="1" ht="13.15" customHeight="1">
      <c r="A122" s="501"/>
      <c r="B122" s="501"/>
      <c r="C122" s="2560" t="s">
        <v>4551</v>
      </c>
      <c r="D122" s="2561"/>
      <c r="E122" s="2561"/>
      <c r="F122" s="2562" t="s">
        <v>4558</v>
      </c>
      <c r="G122" s="2563"/>
      <c r="H122" s="2564"/>
      <c r="I122" s="2417" t="s">
        <v>4565</v>
      </c>
      <c r="J122" s="2560">
        <v>9</v>
      </c>
      <c r="K122" s="2561"/>
      <c r="L122" s="2561"/>
      <c r="M122" s="2562"/>
      <c r="N122" s="2563"/>
      <c r="O122" s="2564"/>
      <c r="P122" s="2418"/>
    </row>
    <row r="123" spans="1:16" s="305" customFormat="1" ht="13.15" customHeight="1">
      <c r="A123" s="501"/>
      <c r="B123" s="501"/>
      <c r="C123" s="2560">
        <v>4</v>
      </c>
      <c r="D123" s="2561"/>
      <c r="E123" s="2561"/>
      <c r="F123" s="2562"/>
      <c r="G123" s="2563"/>
      <c r="H123" s="2564"/>
      <c r="I123" s="2418"/>
      <c r="J123" s="2560">
        <v>10</v>
      </c>
      <c r="K123" s="2561"/>
      <c r="L123" s="2561"/>
      <c r="M123" s="2562"/>
      <c r="N123" s="2563"/>
      <c r="O123" s="2564"/>
      <c r="P123" s="2418"/>
    </row>
    <row r="124" spans="1:16" s="305" customFormat="1" ht="13.15" customHeight="1">
      <c r="A124" s="501"/>
      <c r="B124" s="501"/>
      <c r="C124" s="2560">
        <v>5</v>
      </c>
      <c r="D124" s="2561"/>
      <c r="E124" s="2561"/>
      <c r="F124" s="2562"/>
      <c r="G124" s="2563"/>
      <c r="H124" s="2564"/>
      <c r="I124" s="2418"/>
      <c r="J124" s="2560">
        <v>11</v>
      </c>
      <c r="K124" s="2561"/>
      <c r="L124" s="2561"/>
      <c r="M124" s="2562"/>
      <c r="N124" s="2563"/>
      <c r="O124" s="2564"/>
      <c r="P124" s="2418"/>
    </row>
    <row r="125" spans="1:16" s="305" customFormat="1" ht="13.15" customHeight="1">
      <c r="A125" s="501"/>
      <c r="B125" s="501"/>
      <c r="C125" s="2575">
        <v>6</v>
      </c>
      <c r="D125" s="2576"/>
      <c r="E125" s="2576"/>
      <c r="F125" s="2577"/>
      <c r="G125" s="2578"/>
      <c r="H125" s="2579"/>
      <c r="I125" s="2419"/>
      <c r="J125" s="2575">
        <v>12</v>
      </c>
      <c r="K125" s="2576"/>
      <c r="L125" s="2576"/>
      <c r="M125" s="2577"/>
      <c r="N125" s="2578"/>
      <c r="O125" s="2579"/>
      <c r="P125" s="241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2581" t="s">
        <v>1861</v>
      </c>
      <c r="D127" s="2581"/>
      <c r="E127" s="2581"/>
      <c r="F127" s="2581"/>
      <c r="G127" s="2581"/>
      <c r="H127" s="2581"/>
      <c r="I127" s="2581"/>
      <c r="J127" s="2581"/>
      <c r="K127" s="2581"/>
      <c r="L127" s="2581"/>
      <c r="M127" s="2581"/>
      <c r="N127" s="2581"/>
      <c r="O127" s="2581"/>
      <c r="P127" s="2581"/>
    </row>
    <row r="128" spans="1:16" s="305" customFormat="1" ht="13.15" customHeight="1">
      <c r="A128" s="501"/>
      <c r="B128" s="501"/>
      <c r="C128" s="2581"/>
      <c r="D128" s="2581"/>
      <c r="E128" s="2581"/>
      <c r="F128" s="2581"/>
      <c r="G128" s="2581"/>
      <c r="H128" s="2581"/>
      <c r="I128" s="2581"/>
      <c r="J128" s="2581"/>
      <c r="K128" s="2581"/>
      <c r="L128" s="2581"/>
      <c r="M128" s="2581"/>
      <c r="N128" s="2581"/>
      <c r="O128" s="2581"/>
      <c r="P128" s="2581"/>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2555" t="s">
        <v>4577</v>
      </c>
      <c r="D130" s="2556"/>
      <c r="E130" s="2556"/>
      <c r="F130" s="2557" t="s">
        <v>4567</v>
      </c>
      <c r="G130" s="2558"/>
      <c r="H130" s="2558"/>
      <c r="I130" s="2582"/>
      <c r="J130" s="2555">
        <v>7</v>
      </c>
      <c r="K130" s="2556"/>
      <c r="L130" s="2556"/>
      <c r="M130" s="2557"/>
      <c r="N130" s="2558"/>
      <c r="O130" s="2558"/>
      <c r="P130" s="2582"/>
    </row>
    <row r="131" spans="1:16" s="305" customFormat="1" ht="13.15" customHeight="1">
      <c r="A131" s="501"/>
      <c r="B131" s="501"/>
      <c r="C131" s="2560">
        <v>2</v>
      </c>
      <c r="D131" s="2561"/>
      <c r="E131" s="2561"/>
      <c r="F131" s="2562"/>
      <c r="G131" s="2563"/>
      <c r="H131" s="2563"/>
      <c r="I131" s="2580"/>
      <c r="J131" s="2560">
        <v>8</v>
      </c>
      <c r="K131" s="2561"/>
      <c r="L131" s="2561"/>
      <c r="M131" s="2562"/>
      <c r="N131" s="2563"/>
      <c r="O131" s="2563"/>
      <c r="P131" s="2580"/>
    </row>
    <row r="132" spans="1:16" s="305" customFormat="1" ht="13.15" customHeight="1">
      <c r="A132" s="501"/>
      <c r="B132" s="501"/>
      <c r="C132" s="2560">
        <v>3</v>
      </c>
      <c r="D132" s="2561"/>
      <c r="E132" s="2561"/>
      <c r="F132" s="2562"/>
      <c r="G132" s="2563"/>
      <c r="H132" s="2563"/>
      <c r="I132" s="2580"/>
      <c r="J132" s="2560">
        <v>9</v>
      </c>
      <c r="K132" s="2561"/>
      <c r="L132" s="2561"/>
      <c r="M132" s="2562"/>
      <c r="N132" s="2563"/>
      <c r="O132" s="2563"/>
      <c r="P132" s="2580"/>
    </row>
    <row r="133" spans="1:16" s="305" customFormat="1" ht="13.15" customHeight="1">
      <c r="A133" s="501"/>
      <c r="B133" s="501"/>
      <c r="C133" s="2560"/>
      <c r="D133" s="2561"/>
      <c r="E133" s="2561"/>
      <c r="F133" s="2562"/>
      <c r="G133" s="2563"/>
      <c r="H133" s="2563"/>
      <c r="I133" s="2580"/>
      <c r="J133" s="2560">
        <v>10</v>
      </c>
      <c r="K133" s="2561"/>
      <c r="L133" s="2561"/>
      <c r="M133" s="2562"/>
      <c r="N133" s="2563"/>
      <c r="O133" s="2563"/>
      <c r="P133" s="2580"/>
    </row>
    <row r="134" spans="1:16" s="305" customFormat="1" ht="13.15" customHeight="1">
      <c r="A134" s="501"/>
      <c r="B134" s="501"/>
      <c r="C134" s="2560"/>
      <c r="D134" s="2561"/>
      <c r="E134" s="2561"/>
      <c r="F134" s="2562"/>
      <c r="G134" s="2563"/>
      <c r="H134" s="2563"/>
      <c r="I134" s="2580"/>
      <c r="J134" s="2560">
        <v>11</v>
      </c>
      <c r="K134" s="2561"/>
      <c r="L134" s="2561"/>
      <c r="M134" s="2562"/>
      <c r="N134" s="2563"/>
      <c r="O134" s="2563"/>
      <c r="P134" s="2580"/>
    </row>
    <row r="135" spans="1:16" s="305" customFormat="1" ht="13.15" customHeight="1">
      <c r="A135" s="501"/>
      <c r="B135" s="501"/>
      <c r="C135" s="2575"/>
      <c r="D135" s="2576"/>
      <c r="E135" s="2576"/>
      <c r="F135" s="2577"/>
      <c r="G135" s="2578"/>
      <c r="H135" s="2578"/>
      <c r="I135" s="2588"/>
      <c r="J135" s="2575">
        <v>12</v>
      </c>
      <c r="K135" s="2576"/>
      <c r="L135" s="2576"/>
      <c r="M135" s="2577"/>
      <c r="N135" s="2578"/>
      <c r="O135" s="2578"/>
      <c r="P135" s="2588"/>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2407"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360"/>
      <c r="M140" s="1571"/>
      <c r="N140" s="1570"/>
      <c r="O140" s="1570"/>
      <c r="P140" s="315"/>
    </row>
    <row r="141" spans="1:16" s="305" customFormat="1" ht="13.15" customHeight="1">
      <c r="A141" s="501"/>
      <c r="B141" s="501"/>
      <c r="C141" s="1560" t="s">
        <v>2436</v>
      </c>
      <c r="D141" s="1560"/>
      <c r="E141" s="1560"/>
      <c r="F141" s="1571"/>
      <c r="I141" s="2420"/>
      <c r="N141" s="1570"/>
      <c r="O141" s="1570"/>
      <c r="P141" s="315"/>
    </row>
    <row r="142" spans="1:16" s="305" customFormat="1" ht="13.15" customHeight="1">
      <c r="A142" s="501"/>
      <c r="B142" s="501"/>
      <c r="C142" s="338" t="s">
        <v>1725</v>
      </c>
      <c r="D142" s="310"/>
      <c r="I142" s="2361"/>
      <c r="P142" s="315"/>
    </row>
    <row r="143" spans="1:16" s="305" customFormat="1" ht="13.15" customHeight="1">
      <c r="A143" s="501"/>
      <c r="B143" s="501"/>
      <c r="C143" s="1560" t="s">
        <v>2437</v>
      </c>
      <c r="D143" s="1560"/>
      <c r="E143" s="1560"/>
      <c r="F143" s="1571"/>
      <c r="I143" s="2420"/>
      <c r="K143" s="280" t="s">
        <v>2261</v>
      </c>
      <c r="O143" s="2462" t="s">
        <v>489</v>
      </c>
      <c r="P143" s="2464"/>
    </row>
    <row r="144" spans="1:16" s="305" customFormat="1" ht="13.15" customHeight="1">
      <c r="A144" s="501"/>
      <c r="B144" s="501"/>
      <c r="C144" s="1560" t="s">
        <v>2435</v>
      </c>
      <c r="F144" s="1571"/>
      <c r="I144" s="2421"/>
      <c r="K144" s="280" t="s">
        <v>2262</v>
      </c>
      <c r="O144" s="2481" t="s">
        <v>489</v>
      </c>
      <c r="P144" s="2453"/>
    </row>
    <row r="145" spans="1:16" s="305" customFormat="1" ht="13.15" customHeight="1">
      <c r="A145" s="501"/>
      <c r="B145" s="501"/>
      <c r="C145" s="1560" t="s">
        <v>2182</v>
      </c>
      <c r="D145" s="1560"/>
      <c r="E145" s="1560"/>
      <c r="F145" s="1571"/>
      <c r="I145" s="2583"/>
      <c r="J145" s="2584"/>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2413"/>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2413"/>
      <c r="K150" s="1560" t="s">
        <v>1547</v>
      </c>
      <c r="L150" s="1560"/>
      <c r="M150" s="1571"/>
      <c r="N150" s="1571"/>
      <c r="O150" s="2413"/>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1835</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2422" t="s">
        <v>3014</v>
      </c>
      <c r="N155" s="1570"/>
      <c r="O155" s="1570"/>
      <c r="P155" s="315"/>
    </row>
    <row r="156" spans="1:16" s="305" customFormat="1" ht="12.6" customHeight="1">
      <c r="A156" s="501"/>
      <c r="B156" s="501"/>
      <c r="C156" s="305" t="s">
        <v>621</v>
      </c>
      <c r="K156" s="2423"/>
      <c r="L156" s="310" t="s">
        <v>1808</v>
      </c>
      <c r="P156" s="339">
        <f>IF('Part VI-Revenues &amp; Expenses'!O$60=0,0,K156/'Part VI-Revenues &amp; Expenses'!$O$60)</f>
        <v>0</v>
      </c>
    </row>
    <row r="157" spans="1:16" s="305" customFormat="1" ht="12.6" customHeight="1">
      <c r="A157" s="501"/>
      <c r="B157" s="501"/>
      <c r="C157" s="305" t="s">
        <v>3753</v>
      </c>
      <c r="H157" s="2409"/>
      <c r="I157" s="179"/>
      <c r="J157" s="901" t="s">
        <v>3752</v>
      </c>
      <c r="K157" s="242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62"/>
      <c r="F158" s="2463"/>
      <c r="G158" s="2463"/>
      <c r="H158" s="2463"/>
      <c r="I158" s="2463"/>
      <c r="J158" s="2463"/>
      <c r="K158" s="2491"/>
      <c r="L158" s="340" t="s">
        <v>1810</v>
      </c>
      <c r="M158" s="2585"/>
      <c r="N158" s="2586"/>
      <c r="O158" s="2586"/>
      <c r="P158" s="2587"/>
    </row>
    <row r="159" spans="1:16" s="305" customFormat="1" ht="12.6" customHeight="1">
      <c r="A159" s="501"/>
      <c r="B159" s="501"/>
      <c r="C159" s="310" t="s">
        <v>1811</v>
      </c>
      <c r="D159" s="318"/>
      <c r="E159" s="2450"/>
      <c r="F159" s="2451"/>
      <c r="G159" s="2451"/>
      <c r="H159" s="2451"/>
      <c r="I159" s="2452"/>
      <c r="J159" s="2451"/>
      <c r="K159" s="2456"/>
      <c r="L159" s="340" t="s">
        <v>1815</v>
      </c>
      <c r="M159" s="2596"/>
      <c r="N159" s="2597"/>
      <c r="O159" s="2598"/>
    </row>
    <row r="160" spans="1:16" s="305" customFormat="1" ht="12.6" customHeight="1">
      <c r="A160" s="501"/>
      <c r="B160" s="501"/>
      <c r="C160" s="310" t="s">
        <v>624</v>
      </c>
      <c r="E160" s="2481"/>
      <c r="F160" s="2452"/>
      <c r="G160" s="2452"/>
      <c r="H160" s="2453"/>
      <c r="I160" s="335" t="s">
        <v>2245</v>
      </c>
      <c r="J160" s="2459"/>
      <c r="K160" s="2461"/>
      <c r="L160" s="341" t="s">
        <v>1995</v>
      </c>
      <c r="M160" s="2596"/>
      <c r="N160" s="2597"/>
      <c r="O160" s="2598"/>
    </row>
    <row r="161" spans="1:16" s="305" customFormat="1" ht="12.6" customHeight="1">
      <c r="A161" s="501"/>
      <c r="B161" s="501"/>
      <c r="C161" s="310" t="s">
        <v>1814</v>
      </c>
      <c r="E161" s="2468"/>
      <c r="F161" s="2571"/>
      <c r="G161" s="2469"/>
      <c r="H161" s="1557"/>
      <c r="I161" s="1562" t="s">
        <v>1813</v>
      </c>
      <c r="J161" s="2599"/>
      <c r="K161" s="2573"/>
      <c r="L161" s="2473"/>
      <c r="M161" s="2573"/>
      <c r="N161" s="2573"/>
      <c r="O161" s="2573"/>
      <c r="P161" s="2474"/>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2413" t="s">
        <v>3014</v>
      </c>
      <c r="J163" s="2589" t="s">
        <v>769</v>
      </c>
      <c r="K163" s="2590"/>
      <c r="L163" s="2413"/>
      <c r="M163" s="2591" t="s">
        <v>2342</v>
      </c>
      <c r="N163" s="2592"/>
      <c r="O163" s="2593"/>
      <c r="P163" s="2424"/>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2413" t="s">
        <v>3011</v>
      </c>
      <c r="J165" s="2589" t="s">
        <v>769</v>
      </c>
      <c r="K165" s="2590"/>
      <c r="L165" s="2413">
        <v>2045</v>
      </c>
      <c r="M165" s="2591" t="s">
        <v>2342</v>
      </c>
      <c r="N165" s="2592"/>
      <c r="O165" s="2593"/>
      <c r="P165" s="2424">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2413"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2594" t="s">
        <v>1994</v>
      </c>
      <c r="D169" s="2594"/>
      <c r="E169" s="2594"/>
      <c r="F169" s="2594"/>
      <c r="G169" s="1563"/>
      <c r="I169" s="2413" t="s">
        <v>3014</v>
      </c>
      <c r="J169" s="345" t="s">
        <v>2771</v>
      </c>
      <c r="L169" s="2595" t="s">
        <v>3728</v>
      </c>
      <c r="M169" s="2595"/>
      <c r="N169" s="1563"/>
      <c r="O169" s="1563"/>
      <c r="P169" s="2408"/>
    </row>
    <row r="170" spans="1:16" s="305" customFormat="1" ht="12.6" customHeight="1">
      <c r="B170" s="501"/>
      <c r="L170" s="2524" t="s">
        <v>805</v>
      </c>
      <c r="M170" s="2524"/>
      <c r="N170" s="1563"/>
      <c r="O170" s="1563"/>
      <c r="P170" s="2410"/>
    </row>
    <row r="171" spans="1:16" s="305" customFormat="1" ht="12.6" customHeight="1">
      <c r="A171" s="501"/>
      <c r="B171" s="501"/>
      <c r="L171" s="2524" t="s">
        <v>1804</v>
      </c>
      <c r="M171" s="2524"/>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2422" t="s">
        <v>3014</v>
      </c>
      <c r="L173" s="1570" t="s">
        <v>1622</v>
      </c>
      <c r="M173" s="1570"/>
      <c r="N173" s="1570"/>
      <c r="P173" s="2422" t="s">
        <v>3011</v>
      </c>
    </row>
    <row r="174" spans="1:16" s="305" customFormat="1" ht="12.6" customHeight="1">
      <c r="A174" s="501"/>
      <c r="B174" s="501"/>
      <c r="C174" s="1570" t="s">
        <v>2229</v>
      </c>
      <c r="I174" s="2421" t="s">
        <v>3014</v>
      </c>
      <c r="L174" s="1570" t="s">
        <v>2864</v>
      </c>
      <c r="M174" s="1570"/>
      <c r="N174" s="1570"/>
      <c r="P174" s="2421" t="s">
        <v>3014</v>
      </c>
    </row>
    <row r="175" spans="1:16" s="305" customFormat="1" ht="12.6" customHeight="1">
      <c r="A175" s="501"/>
      <c r="C175" s="1570" t="s">
        <v>2740</v>
      </c>
      <c r="I175" s="2421" t="s">
        <v>3014</v>
      </c>
      <c r="L175" s="1570" t="s">
        <v>2707</v>
      </c>
      <c r="N175" s="2604"/>
      <c r="O175" s="2605"/>
      <c r="P175" s="2421" t="s">
        <v>3014</v>
      </c>
    </row>
    <row r="176" spans="1:16" s="305" customFormat="1" ht="12.6" customHeight="1">
      <c r="A176" s="501"/>
      <c r="B176" s="501"/>
      <c r="C176" s="1570" t="s">
        <v>1297</v>
      </c>
      <c r="D176" s="346"/>
      <c r="I176" s="2421" t="s">
        <v>3011</v>
      </c>
      <c r="K176" s="316"/>
      <c r="L176" s="1570" t="s">
        <v>3506</v>
      </c>
      <c r="M176" s="1570"/>
      <c r="N176" s="1570"/>
      <c r="P176" s="2421" t="s">
        <v>3014</v>
      </c>
    </row>
    <row r="177" spans="1:21" s="305" customFormat="1" ht="12.6" customHeight="1">
      <c r="A177" s="501"/>
      <c r="B177" s="307"/>
      <c r="C177" s="1570" t="s">
        <v>1820</v>
      </c>
      <c r="I177" s="2421" t="s">
        <v>3014</v>
      </c>
      <c r="J177" s="345" t="s">
        <v>2772</v>
      </c>
      <c r="O177" s="2606"/>
      <c r="P177" s="2607"/>
    </row>
    <row r="178" spans="1:21" s="305" customFormat="1" ht="12.6" customHeight="1">
      <c r="A178" s="501"/>
      <c r="B178" s="501"/>
      <c r="C178" s="1570" t="s">
        <v>2922</v>
      </c>
      <c r="I178" s="2425" t="s">
        <v>3014</v>
      </c>
      <c r="J178" s="345" t="s">
        <v>2772</v>
      </c>
      <c r="O178" s="2608"/>
      <c r="P178" s="2609"/>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2541"/>
      <c r="I181" s="2542"/>
      <c r="N181" s="1570"/>
      <c r="O181" s="1570"/>
      <c r="P181" s="315"/>
    </row>
    <row r="182" spans="1:21" s="305" customFormat="1" ht="12.6" customHeight="1">
      <c r="A182" s="501"/>
      <c r="B182" s="501"/>
      <c r="C182" s="310" t="s">
        <v>278</v>
      </c>
      <c r="D182" s="1560"/>
      <c r="E182" s="1560"/>
      <c r="F182" s="1571"/>
      <c r="G182" s="1571"/>
      <c r="H182" s="2600">
        <v>44196</v>
      </c>
      <c r="I182" s="2601"/>
      <c r="N182" s="1570"/>
      <c r="O182" s="1570"/>
      <c r="P182" s="315"/>
    </row>
    <row r="183" spans="1:21" s="305" customFormat="1" ht="12.6" customHeight="1">
      <c r="A183" s="501"/>
      <c r="B183" s="501"/>
      <c r="C183" s="310" t="s">
        <v>2311</v>
      </c>
      <c r="D183" s="1560"/>
      <c r="E183" s="1560"/>
      <c r="F183" s="1571"/>
      <c r="G183" s="1571"/>
      <c r="H183" s="2602"/>
      <c r="I183" s="2603"/>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2610"/>
      <c r="B186" s="2611"/>
      <c r="C186" s="2611"/>
      <c r="D186" s="2611"/>
      <c r="E186" s="2611"/>
      <c r="F186" s="2611"/>
      <c r="G186" s="2611"/>
      <c r="H186" s="2611"/>
      <c r="I186" s="2611"/>
      <c r="J186" s="2611"/>
      <c r="K186" s="2611"/>
      <c r="L186" s="2612"/>
      <c r="M186" s="2613"/>
      <c r="N186" s="2614"/>
      <c r="O186" s="2614"/>
      <c r="P186" s="2615"/>
      <c r="Q186" s="2435" t="s">
        <v>2710</v>
      </c>
      <c r="R186" s="2435"/>
      <c r="S186" s="2435"/>
      <c r="T186" s="2435"/>
      <c r="U186" s="2435"/>
    </row>
    <row r="187" spans="1:21" ht="12" customHeight="1">
      <c r="Q187" s="2435"/>
      <c r="R187" s="2435"/>
      <c r="S187" s="2435"/>
      <c r="T187" s="2435"/>
      <c r="U187" s="2435"/>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242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242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242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242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242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242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242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242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242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242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8"/>
      <c r="Q240" s="2426"/>
      <c r="R240" s="1183"/>
      <c r="S240" s="242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6"/>
      <c r="R241" s="1183"/>
      <c r="S241" s="242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6"/>
      <c r="R242" s="1183"/>
      <c r="S242" s="242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6"/>
      <c r="R243" s="1183"/>
      <c r="S243" s="242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8"/>
      <c r="Q248" s="242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8"/>
      <c r="Q256" s="242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8"/>
      <c r="Q298" s="242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8"/>
      <c r="Q327" s="242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7"/>
      <c r="Q333" s="242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8"/>
      <c r="Q351" s="242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6"/>
      <c r="R353" s="1183"/>
      <c r="S353" s="242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6"/>
      <c r="R354" s="1183"/>
      <c r="S354" s="242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6"/>
      <c r="R355" s="1183"/>
      <c r="S355" s="242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8"/>
      <c r="Q357" s="1181"/>
      <c r="R357" s="1183"/>
      <c r="S357" s="242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3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3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3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3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3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3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3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3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3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3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3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3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3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3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3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3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3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3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3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3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3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3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3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3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3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3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9" t="s">
        <v>95</v>
      </c>
      <c r="S613" s="2429" t="s">
        <v>97</v>
      </c>
      <c r="T613" s="242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9" t="s">
        <v>2578</v>
      </c>
      <c r="S614" s="2429" t="s">
        <v>634</v>
      </c>
      <c r="T614" s="243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31"/>
      <c r="R615" s="2429" t="s">
        <v>2579</v>
      </c>
      <c r="S615" s="2429" t="s">
        <v>321</v>
      </c>
      <c r="T615" s="243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9" t="s">
        <v>2580</v>
      </c>
      <c r="S616" s="2429" t="s">
        <v>2499</v>
      </c>
      <c r="T616" s="243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9" t="s">
        <v>2581</v>
      </c>
      <c r="S617" s="2429"/>
      <c r="T617" s="243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9" t="s">
        <v>2582</v>
      </c>
      <c r="S618" s="2429" t="s">
        <v>2023</v>
      </c>
      <c r="T618" s="243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9" t="s">
        <v>2583</v>
      </c>
      <c r="S619" s="2429" t="s">
        <v>2499</v>
      </c>
      <c r="T619" s="243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9" t="s">
        <v>2584</v>
      </c>
      <c r="S620" s="2429" t="s">
        <v>1339</v>
      </c>
      <c r="T620" s="243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9" t="s">
        <v>2585</v>
      </c>
      <c r="S621" s="2429" t="s">
        <v>2025</v>
      </c>
      <c r="T621" s="243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9" t="s">
        <v>2586</v>
      </c>
      <c r="S622" s="2429" t="s">
        <v>672</v>
      </c>
      <c r="T622" s="243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9" t="s">
        <v>2587</v>
      </c>
      <c r="S623" s="2429" t="s">
        <v>634</v>
      </c>
      <c r="T623" s="243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9" t="s">
        <v>2588</v>
      </c>
      <c r="S624" s="2429" t="s">
        <v>2188</v>
      </c>
      <c r="T624" s="243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9" t="s">
        <v>2589</v>
      </c>
      <c r="S625" s="2429" t="s">
        <v>2548</v>
      </c>
      <c r="T625" s="243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9" t="s">
        <v>2260</v>
      </c>
      <c r="S626" s="2429" t="s">
        <v>2545</v>
      </c>
      <c r="T626" s="243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9" t="s">
        <v>2590</v>
      </c>
      <c r="S627" s="2429" t="s">
        <v>2188</v>
      </c>
      <c r="T627" s="243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9" t="s">
        <v>2591</v>
      </c>
      <c r="S628" s="2429" t="s">
        <v>2502</v>
      </c>
      <c r="T628" s="243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30"/>
      <c r="R629" s="2429" t="s">
        <v>2592</v>
      </c>
      <c r="S629" s="2429" t="s">
        <v>2023</v>
      </c>
      <c r="T629" s="243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9" t="s">
        <v>1055</v>
      </c>
      <c r="S630" s="2429" t="s">
        <v>1468</v>
      </c>
      <c r="T630" s="243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31"/>
      <c r="R631" s="2429" t="s">
        <v>913</v>
      </c>
      <c r="S631" s="2429" t="s">
        <v>1113</v>
      </c>
      <c r="T631" s="243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9" t="s">
        <v>1056</v>
      </c>
      <c r="S632" s="2429" t="s">
        <v>634</v>
      </c>
      <c r="T632" s="243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9" t="s">
        <v>1057</v>
      </c>
      <c r="S633" s="2429" t="s">
        <v>1926</v>
      </c>
      <c r="T633" s="243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31"/>
      <c r="R634" s="2429" t="s">
        <v>1058</v>
      </c>
      <c r="S634" s="2429" t="s">
        <v>2021</v>
      </c>
      <c r="T634" s="243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9" t="s">
        <v>1059</v>
      </c>
      <c r="S635" s="2429" t="s">
        <v>1106</v>
      </c>
      <c r="T635" s="243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3"/>
      <c r="R636" s="2429" t="s">
        <v>1060</v>
      </c>
      <c r="S636" s="2429" t="s">
        <v>1532</v>
      </c>
      <c r="T636" s="243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9" t="s">
        <v>1061</v>
      </c>
      <c r="S637" s="2429" t="s">
        <v>2499</v>
      </c>
      <c r="T637" s="243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31"/>
      <c r="R638" s="2429" t="s">
        <v>1062</v>
      </c>
      <c r="S638" s="2429" t="s">
        <v>160</v>
      </c>
      <c r="T638" s="243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31"/>
      <c r="R639" s="2429" t="s">
        <v>1063</v>
      </c>
      <c r="S639" s="2429" t="s">
        <v>1346</v>
      </c>
      <c r="T639" s="243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9" t="s">
        <v>1064</v>
      </c>
      <c r="S640" s="2429" t="s">
        <v>1532</v>
      </c>
      <c r="T640" s="243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9" t="s">
        <v>1065</v>
      </c>
      <c r="S641" s="2429" t="s">
        <v>1120</v>
      </c>
      <c r="T641" s="243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9" t="s">
        <v>1066</v>
      </c>
      <c r="S642" s="2429" t="s">
        <v>2021</v>
      </c>
      <c r="T642" s="243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9" t="s">
        <v>1067</v>
      </c>
      <c r="S644" s="2429" t="s">
        <v>2502</v>
      </c>
      <c r="T644" s="243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9" t="s">
        <v>1619</v>
      </c>
      <c r="S645" s="2429" t="s">
        <v>2545</v>
      </c>
      <c r="T645" s="243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9" t="s">
        <v>1068</v>
      </c>
      <c r="S646" s="2429"/>
      <c r="T646" s="243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9" t="s">
        <v>185</v>
      </c>
      <c r="S647" s="2429" t="s">
        <v>160</v>
      </c>
      <c r="T647" s="243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9" t="s">
        <v>1069</v>
      </c>
      <c r="S648" s="2429" t="s">
        <v>176</v>
      </c>
      <c r="T648" s="243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9" t="s">
        <v>2301</v>
      </c>
      <c r="S649" s="2429" t="s">
        <v>1218</v>
      </c>
      <c r="T649" s="243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9" t="s">
        <v>1070</v>
      </c>
      <c r="S650" s="2429" t="s">
        <v>634</v>
      </c>
      <c r="T650" s="243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9" t="s">
        <v>1071</v>
      </c>
      <c r="S651" s="2429" t="s">
        <v>634</v>
      </c>
      <c r="T651" s="243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9" t="s">
        <v>1072</v>
      </c>
      <c r="S652" s="2429" t="s">
        <v>634</v>
      </c>
      <c r="T652" s="243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9" t="s">
        <v>1073</v>
      </c>
      <c r="S653" s="2429" t="s">
        <v>634</v>
      </c>
      <c r="T653" s="243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9" t="s">
        <v>1074</v>
      </c>
      <c r="S654" s="2429" t="s">
        <v>1681</v>
      </c>
      <c r="T654" s="243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9" t="s">
        <v>1075</v>
      </c>
      <c r="S655" s="2429" t="s">
        <v>964</v>
      </c>
      <c r="T655" s="243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9" t="s">
        <v>1076</v>
      </c>
      <c r="S656" s="2429" t="s">
        <v>123</v>
      </c>
      <c r="T656" s="243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31"/>
      <c r="R657" s="2429" t="s">
        <v>1077</v>
      </c>
      <c r="S657" s="2429" t="s">
        <v>634</v>
      </c>
      <c r="T657" s="243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9" t="s">
        <v>1078</v>
      </c>
      <c r="S658" s="2429" t="s">
        <v>318</v>
      </c>
      <c r="T658" s="243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9" t="s">
        <v>1079</v>
      </c>
      <c r="S659" s="2429" t="s">
        <v>322</v>
      </c>
      <c r="T659" s="243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9" t="s">
        <v>840</v>
      </c>
      <c r="S660" s="2429" t="s">
        <v>1325</v>
      </c>
      <c r="T660" s="243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9" t="s">
        <v>1080</v>
      </c>
      <c r="S661" s="2429" t="s">
        <v>672</v>
      </c>
      <c r="T661" s="243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9" t="s">
        <v>1081</v>
      </c>
      <c r="S662" s="2429" t="s">
        <v>1532</v>
      </c>
      <c r="T662" s="243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9" t="s">
        <v>1082</v>
      </c>
      <c r="S663" s="2429" t="s">
        <v>634</v>
      </c>
      <c r="T663" s="243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9" t="s">
        <v>1083</v>
      </c>
      <c r="S664" s="2429" t="s">
        <v>664</v>
      </c>
      <c r="T664" s="243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9" t="s">
        <v>1084</v>
      </c>
      <c r="S665" s="2429" t="s">
        <v>160</v>
      </c>
      <c r="T665" s="243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30"/>
      <c r="R666" s="2429" t="s">
        <v>1085</v>
      </c>
      <c r="S666" s="2429" t="s">
        <v>1926</v>
      </c>
      <c r="T666" s="243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31"/>
      <c r="R667" s="2429" t="s">
        <v>1086</v>
      </c>
      <c r="S667" s="2429" t="s">
        <v>2021</v>
      </c>
      <c r="T667" s="243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9" t="s">
        <v>1087</v>
      </c>
      <c r="S668" s="2429" t="s">
        <v>634</v>
      </c>
      <c r="T668" s="243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9" t="s">
        <v>1088</v>
      </c>
      <c r="S669" s="2429" t="s">
        <v>1681</v>
      </c>
      <c r="T669" s="243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31"/>
      <c r="R670" s="2429" t="s">
        <v>1089</v>
      </c>
      <c r="S670" s="2429" t="s">
        <v>2502</v>
      </c>
      <c r="T670" s="243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9" t="s">
        <v>1090</v>
      </c>
      <c r="S671" s="2429" t="s">
        <v>160</v>
      </c>
      <c r="T671" s="243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9" t="s">
        <v>1091</v>
      </c>
      <c r="S672" s="2429" t="s">
        <v>160</v>
      </c>
      <c r="T672" s="243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3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3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3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3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3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3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3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3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3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3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3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3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3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3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78pzYbR5oQxVcq23NZ2vYTUfFEuaa3FPz7ZdtSrYSDk5iJ0hjjmNvKt7HUtEvGnPyOaFLGSrehy6PlpajHP+KA==" saltValue="/PJtrqkFW4Rwuhs4x6WUN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45" t="str">
        <f>Overview!C8</f>
        <v>Heritage Village at West Lake</v>
      </c>
      <c r="C1" s="3645"/>
      <c r="D1" s="3645"/>
      <c r="E1" s="3645"/>
      <c r="F1" s="3645"/>
      <c r="G1" s="3645"/>
      <c r="H1" s="1441"/>
    </row>
    <row r="2" spans="1:8" ht="21.95" customHeight="1">
      <c r="A2" s="1469"/>
      <c r="B2" s="1469"/>
      <c r="C2" s="1469"/>
      <c r="D2" s="1469"/>
      <c r="E2" s="1469"/>
      <c r="F2" s="1469"/>
      <c r="G2" s="1469"/>
      <c r="H2" s="1469"/>
    </row>
    <row r="3" spans="1:8" ht="20.25" customHeight="1">
      <c r="C3" s="3644" t="s">
        <v>3098</v>
      </c>
      <c r="D3" s="3644"/>
      <c r="E3" s="3644"/>
      <c r="F3" s="3644"/>
    </row>
    <row r="5" spans="1:8" ht="15.75">
      <c r="D5" s="1402"/>
      <c r="E5" s="1402" t="s">
        <v>3099</v>
      </c>
    </row>
    <row r="6" spans="1:8" ht="15.75">
      <c r="D6" s="1442" t="s">
        <v>2496</v>
      </c>
      <c r="E6" s="1442" t="s">
        <v>3100</v>
      </c>
    </row>
    <row r="7" spans="1:8" ht="15">
      <c r="D7" s="1403"/>
      <c r="E7" s="1403"/>
    </row>
    <row r="8" spans="1:8" ht="21" customHeight="1">
      <c r="D8" s="1404">
        <v>1</v>
      </c>
      <c r="E8" s="1405">
        <f>-'Part VII-Pro Forma'!B23/12</f>
        <v>9197.8861391559331</v>
      </c>
    </row>
    <row r="9" spans="1:8" ht="21" customHeight="1">
      <c r="D9" s="1404">
        <v>2</v>
      </c>
      <c r="E9" s="1405">
        <f>-'Part VII-Pro Forma'!C23/12</f>
        <v>9197.8861391559331</v>
      </c>
    </row>
    <row r="10" spans="1:8" ht="21" customHeight="1">
      <c r="D10" s="1404">
        <v>3</v>
      </c>
      <c r="E10" s="1405">
        <f>-'Part VII-Pro Forma'!D23/12</f>
        <v>9197.8861391559331</v>
      </c>
    </row>
    <row r="11" spans="1:8" ht="21" customHeight="1">
      <c r="D11" s="1406">
        <v>4</v>
      </c>
      <c r="E11" s="1405">
        <f>-'Part VII-Pro Forma'!E23/12</f>
        <v>9197.8861391559331</v>
      </c>
    </row>
    <row r="12" spans="1:8" ht="21" customHeight="1">
      <c r="D12" s="1406">
        <v>5</v>
      </c>
      <c r="E12" s="1405">
        <f>-'Part VII-Pro Forma'!F23/12</f>
        <v>9197.8861391559331</v>
      </c>
    </row>
    <row r="13" spans="1:8" ht="21" customHeight="1">
      <c r="D13" s="1404">
        <v>6</v>
      </c>
      <c r="E13" s="1405">
        <f>-'Part VII-Pro Forma'!G23/12</f>
        <v>9197.8861391559331</v>
      </c>
    </row>
    <row r="14" spans="1:8" ht="21" customHeight="1">
      <c r="D14" s="1404">
        <v>7</v>
      </c>
      <c r="E14" s="1405">
        <f>-'Part VII-Pro Forma'!H23/12</f>
        <v>9197.8861391559331</v>
      </c>
    </row>
    <row r="15" spans="1:8" ht="21" customHeight="1">
      <c r="D15" s="1406">
        <v>8</v>
      </c>
      <c r="E15" s="1405">
        <f>-'Part VII-Pro Forma'!I23/12</f>
        <v>9197.8861391559331</v>
      </c>
    </row>
    <row r="16" spans="1:8" ht="21" customHeight="1">
      <c r="D16" s="1404">
        <v>9</v>
      </c>
      <c r="E16" s="1405">
        <f>-'Part VII-Pro Forma'!J23/12</f>
        <v>9197.8861391559331</v>
      </c>
    </row>
    <row r="17" spans="4:8" ht="21" customHeight="1">
      <c r="D17" s="1404">
        <v>10</v>
      </c>
      <c r="E17" s="1405">
        <f>-'Part VII-Pro Forma'!K23/12</f>
        <v>9197.8861391559331</v>
      </c>
    </row>
    <row r="18" spans="4:8" ht="21" customHeight="1">
      <c r="D18" s="1406">
        <v>11</v>
      </c>
      <c r="E18" s="1405">
        <f>-'Part VII-Pro Forma'!B53/12</f>
        <v>9197.8861391559331</v>
      </c>
    </row>
    <row r="19" spans="4:8" ht="21" customHeight="1">
      <c r="D19" s="1404">
        <v>12</v>
      </c>
      <c r="E19" s="1405">
        <f>-'Part VII-Pro Forma'!C53/12</f>
        <v>9197.8861391559331</v>
      </c>
    </row>
    <row r="20" spans="4:8" ht="21" customHeight="1">
      <c r="D20" s="1404">
        <v>13</v>
      </c>
      <c r="E20" s="1405">
        <f>-'Part VII-Pro Forma'!D53/12</f>
        <v>9197.8861391559331</v>
      </c>
    </row>
    <row r="21" spans="4:8" ht="21" customHeight="1">
      <c r="D21" s="1404">
        <v>14</v>
      </c>
      <c r="E21" s="1405">
        <f>-'Part VII-Pro Forma'!E53/12</f>
        <v>9197.8861391559331</v>
      </c>
    </row>
    <row r="22" spans="4:8" ht="21" customHeight="1">
      <c r="D22" s="1404">
        <v>15</v>
      </c>
      <c r="E22" s="1405">
        <f>-'Part VII-Pro Forma'!F53/12</f>
        <v>9197.8861391559331</v>
      </c>
    </row>
    <row r="23" spans="4:8" ht="21" customHeight="1">
      <c r="D23" s="1404">
        <v>16</v>
      </c>
      <c r="E23" s="1405">
        <f>-'Part VII-Pro Forma'!G53/12</f>
        <v>9197.8861391559331</v>
      </c>
    </row>
    <row r="24" spans="4:8" ht="21" customHeight="1">
      <c r="D24" s="1404">
        <v>17</v>
      </c>
      <c r="E24" s="1405">
        <f>-'Part VII-Pro Forma'!H53/12</f>
        <v>9197.8861391559331</v>
      </c>
      <c r="H24" s="580" t="s">
        <v>245</v>
      </c>
    </row>
    <row r="25" spans="4:8" ht="21" customHeight="1">
      <c r="D25" s="1404">
        <v>18</v>
      </c>
      <c r="E25" s="1405">
        <f>-'Part VII-Pro Forma'!I53/12</f>
        <v>9197.8861391559331</v>
      </c>
    </row>
    <row r="26" spans="4:8" ht="21" customHeight="1">
      <c r="D26" s="1404">
        <v>19</v>
      </c>
      <c r="E26" s="1405">
        <f>-'Part VII-Pro Forma'!J53/12</f>
        <v>9197.8861391559331</v>
      </c>
    </row>
    <row r="27" spans="4:8" ht="21" customHeight="1">
      <c r="D27" s="1404">
        <v>20</v>
      </c>
      <c r="E27" s="1405">
        <f>-'Part VII-Pro Forma'!K53/12</f>
        <v>9197.8861391559331</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6" t="s">
        <v>3101</v>
      </c>
      <c r="B1" s="3646"/>
      <c r="C1" s="3646"/>
      <c r="D1" s="3646"/>
      <c r="E1" s="3646"/>
      <c r="F1" s="3646"/>
      <c r="G1" s="3646"/>
      <c r="H1" s="3646"/>
      <c r="I1" s="3646"/>
      <c r="J1" s="3646"/>
      <c r="K1" s="3646"/>
    </row>
    <row r="2" spans="1:11" ht="15">
      <c r="A2" s="3660" t="str">
        <f>Overview!C8</f>
        <v>Heritage Village at West Lake</v>
      </c>
      <c r="B2" s="3660"/>
      <c r="C2" s="3660"/>
      <c r="D2" s="3660"/>
      <c r="E2" s="3660"/>
      <c r="F2" s="3660"/>
      <c r="G2" s="3660"/>
      <c r="H2" s="3660"/>
      <c r="I2" s="3660"/>
      <c r="J2" s="3660"/>
      <c r="K2" s="3660"/>
    </row>
    <row r="3" spans="1:11" ht="9" customHeight="1">
      <c r="A3" s="810"/>
      <c r="B3" s="810"/>
      <c r="C3" s="810"/>
    </row>
    <row r="4" spans="1:11" ht="18">
      <c r="A4" s="811" t="s">
        <v>3576</v>
      </c>
      <c r="B4" s="810"/>
      <c r="C4" s="810"/>
      <c r="K4" s="812"/>
    </row>
    <row r="5" spans="1:11" s="767" customFormat="1" ht="42" customHeight="1">
      <c r="C5" s="3647" t="s">
        <v>4523</v>
      </c>
      <c r="D5" s="3648"/>
      <c r="E5" s="3649"/>
      <c r="F5" s="593"/>
      <c r="G5" s="3647" t="s">
        <v>4524</v>
      </c>
      <c r="H5" s="3648"/>
      <c r="I5" s="3649"/>
      <c r="J5" s="809"/>
      <c r="K5" s="3658" t="s">
        <v>4525</v>
      </c>
    </row>
    <row r="6" spans="1:11" s="814" customFormat="1" ht="15" customHeight="1">
      <c r="A6" s="813" t="s">
        <v>2732</v>
      </c>
      <c r="C6" s="815" t="s">
        <v>3559</v>
      </c>
      <c r="D6" s="815" t="s">
        <v>4526</v>
      </c>
      <c r="E6" s="815" t="s">
        <v>2006</v>
      </c>
      <c r="G6" s="815" t="s">
        <v>3560</v>
      </c>
      <c r="H6" s="815" t="s">
        <v>4527</v>
      </c>
      <c r="I6" s="815" t="s">
        <v>2006</v>
      </c>
      <c r="K6" s="3659"/>
    </row>
    <row r="7" spans="1:11" s="593" customFormat="1" ht="13.5" customHeight="1">
      <c r="A7" s="593" t="s">
        <v>3102</v>
      </c>
      <c r="C7" s="817"/>
      <c r="D7" s="1407">
        <f>'Part VI-Revenues &amp; Expenses'!$J$58</f>
        <v>95</v>
      </c>
      <c r="E7" s="819">
        <f>C7*D7</f>
        <v>0</v>
      </c>
      <c r="G7" s="817"/>
      <c r="H7" s="818">
        <f>'Part VI-Revenues &amp; Expenses'!$J$62</f>
        <v>95</v>
      </c>
      <c r="I7" s="819">
        <f>G7*H7</f>
        <v>0</v>
      </c>
      <c r="K7" s="1414">
        <f>'Part VIII-Threshold Criteria'!$P$49</f>
        <v>0</v>
      </c>
    </row>
    <row r="8" spans="1:11" s="593" customFormat="1" ht="13.5" customHeight="1">
      <c r="A8" s="593" t="s">
        <v>2730</v>
      </c>
      <c r="C8" s="817"/>
      <c r="D8" s="1407">
        <f>'Part VI-Revenues &amp; Expenses'!$K$58</f>
        <v>28</v>
      </c>
      <c r="E8" s="819">
        <f>C8*D8</f>
        <v>0</v>
      </c>
      <c r="G8" s="817"/>
      <c r="H8" s="818">
        <f>'Part VI-Revenues &amp; Expenses'!$K$62</f>
        <v>28</v>
      </c>
      <c r="I8" s="819">
        <f>G8*H8</f>
        <v>0</v>
      </c>
      <c r="K8" s="816" t="s">
        <v>3561</v>
      </c>
    </row>
    <row r="9" spans="1:11" s="593" customFormat="1" ht="13.5" customHeight="1">
      <c r="A9" s="593" t="s">
        <v>2731</v>
      </c>
      <c r="C9" s="817"/>
      <c r="D9" s="1407">
        <f>'Part VI-Revenues &amp; Expenses'!$L$58</f>
        <v>0</v>
      </c>
      <c r="E9" s="819">
        <f>C9*D9</f>
        <v>0</v>
      </c>
      <c r="G9" s="817"/>
      <c r="H9" s="818">
        <f>'Part VI-Revenues &amp; Expenses'!$L$62</f>
        <v>0</v>
      </c>
      <c r="I9" s="819">
        <f>G9*H9</f>
        <v>0</v>
      </c>
      <c r="K9" s="1414">
        <f>'Part IV-A-Uses of Funds'!$G$132</f>
        <v>15349522</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3650" t="s">
        <v>3566</v>
      </c>
    </row>
    <row r="12" spans="1:11" ht="13.5" customHeight="1" thickBot="1">
      <c r="A12" s="825" t="s">
        <v>3528</v>
      </c>
      <c r="D12" s="856">
        <f>SUM(D7:D11)</f>
        <v>123</v>
      </c>
      <c r="E12" s="826"/>
      <c r="G12" s="825" t="s">
        <v>1806</v>
      </c>
      <c r="H12" s="1413">
        <f>SUM(H7:H11)</f>
        <v>123</v>
      </c>
      <c r="I12" s="826"/>
      <c r="K12" s="3651"/>
    </row>
    <row r="13" spans="1:11" s="593" customFormat="1" ht="13.5" customHeight="1" thickBot="1">
      <c r="A13" s="825" t="s">
        <v>3103</v>
      </c>
      <c r="B13" s="827"/>
      <c r="E13" s="828">
        <f>SUM(E7:E11)</f>
        <v>0</v>
      </c>
      <c r="G13" s="825" t="s">
        <v>3339</v>
      </c>
      <c r="H13" s="827"/>
      <c r="I13" s="829">
        <f>SUM(I7:I11)</f>
        <v>0</v>
      </c>
      <c r="K13" s="1414">
        <f>'Part VIII-Threshold Criteria'!$P$63</f>
        <v>15349522</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4311</v>
      </c>
      <c r="F18" s="1416"/>
      <c r="G18" s="1416"/>
      <c r="H18" s="1416"/>
      <c r="I18" s="1416"/>
      <c r="K18" s="1392">
        <f>Overview!$E$13</f>
        <v>123</v>
      </c>
    </row>
    <row r="19" spans="1:11" s="593" customFormat="1" ht="13.5" customHeight="1">
      <c r="A19" s="593" t="s">
        <v>3104</v>
      </c>
      <c r="E19" s="1410"/>
      <c r="K19" s="680">
        <f>Overview!$C$13</f>
        <v>123</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15349522</v>
      </c>
    </row>
    <row r="24" spans="1:11" s="593" customFormat="1" ht="13.5" customHeight="1">
      <c r="A24" s="834" t="s">
        <v>1773</v>
      </c>
      <c r="E24" s="1410"/>
      <c r="K24" s="820">
        <f>'Part IV-A-Uses of Funds'!$G$122</f>
        <v>336000</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15013522</v>
      </c>
    </row>
    <row r="29" spans="1:11" ht="6.75" customHeight="1">
      <c r="A29" s="831"/>
      <c r="E29" s="1411"/>
      <c r="K29" s="839"/>
    </row>
    <row r="30" spans="1:11" s="593" customFormat="1" ht="15" customHeight="1">
      <c r="A30" s="827" t="s">
        <v>3111</v>
      </c>
      <c r="E30" s="1409" t="s">
        <v>3571</v>
      </c>
      <c r="F30" s="840"/>
      <c r="G30" s="840"/>
      <c r="H30" s="840"/>
      <c r="I30" s="840"/>
      <c r="K30" s="841">
        <f>K21*K28</f>
        <v>15013522</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2000000</v>
      </c>
    </row>
    <row r="37" spans="1:11" s="593" customFormat="1" ht="9" customHeight="1" thickBot="1">
      <c r="E37" s="846"/>
      <c r="F37" s="846"/>
      <c r="G37" s="846"/>
      <c r="H37" s="846"/>
      <c r="K37" s="847"/>
    </row>
    <row r="38" spans="1:11" s="593" customFormat="1" ht="15.75" customHeight="1">
      <c r="A38" s="3652" t="s">
        <v>3569</v>
      </c>
      <c r="B38" s="3652"/>
      <c r="C38" s="3652"/>
      <c r="D38" s="3653" t="s">
        <v>3106</v>
      </c>
      <c r="E38" s="3653"/>
      <c r="F38" s="3653" t="s">
        <v>3107</v>
      </c>
      <c r="G38" s="3653"/>
      <c r="H38" s="3653"/>
      <c r="I38" s="1470" t="s">
        <v>2848</v>
      </c>
      <c r="K38" s="3654">
        <f>ROUND((D39/F39)*I39,0)</f>
        <v>16</v>
      </c>
    </row>
    <row r="39" spans="1:11" s="593" customFormat="1" ht="15.75" customHeight="1" thickBot="1">
      <c r="A39" s="3652"/>
      <c r="B39" s="3652"/>
      <c r="C39" s="3652"/>
      <c r="D39" s="3656">
        <f>K36</f>
        <v>2000000</v>
      </c>
      <c r="E39" s="3656"/>
      <c r="F39" s="3657">
        <f>K28</f>
        <v>15013522</v>
      </c>
      <c r="G39" s="3657"/>
      <c r="H39" s="3657"/>
      <c r="I39" s="848">
        <f>K19</f>
        <v>123</v>
      </c>
      <c r="K39" s="3655"/>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61" t="str">
        <f>CONCATENATE(Overview!E8,"  ",Overview!C8)</f>
        <v>2018-017  Heritage Village at West Lake</v>
      </c>
      <c r="B1" s="3661"/>
      <c r="C1" s="3661"/>
      <c r="D1" s="3661"/>
      <c r="E1" s="3661"/>
      <c r="F1" s="3661"/>
      <c r="G1" s="3661"/>
      <c r="H1" s="3661"/>
    </row>
    <row r="3" spans="1:13" ht="12" customHeight="1">
      <c r="A3" s="3662" t="s">
        <v>3530</v>
      </c>
      <c r="B3" s="3662"/>
      <c r="C3" s="3662"/>
      <c r="D3" s="3662"/>
      <c r="E3" s="3662"/>
      <c r="F3" s="3662"/>
      <c r="G3" s="3662"/>
      <c r="H3" s="3662"/>
      <c r="I3" s="1474"/>
      <c r="J3" s="3664" t="s">
        <v>4312</v>
      </c>
      <c r="K3" s="3664"/>
      <c r="L3" s="882"/>
      <c r="M3" s="882"/>
    </row>
    <row r="4" spans="1:13">
      <c r="J4" s="3664"/>
      <c r="K4" s="3664"/>
    </row>
    <row r="5" spans="1:13" ht="12" customHeight="1">
      <c r="A5" s="809">
        <v>1</v>
      </c>
      <c r="C5" s="809" t="s">
        <v>3113</v>
      </c>
      <c r="E5" s="864" t="str">
        <f>Overview!H9</f>
        <v>Heritage Village West Lake, L.P.</v>
      </c>
      <c r="J5" s="3664"/>
      <c r="K5" s="3664"/>
    </row>
    <row r="6" spans="1:13" ht="3" customHeight="1">
      <c r="H6" s="826"/>
      <c r="J6" s="3664"/>
      <c r="K6" s="3664"/>
    </row>
    <row r="7" spans="1:13" ht="12" customHeight="1">
      <c r="A7" s="809">
        <v>2</v>
      </c>
      <c r="C7" s="809" t="s">
        <v>3114</v>
      </c>
      <c r="E7" s="864" t="str">
        <f>'Part II-Development Team'!H6</f>
        <v>878 Rock St NW</v>
      </c>
      <c r="J7" s="3664"/>
      <c r="K7" s="3664"/>
    </row>
    <row r="8" spans="1:13" ht="12" customHeight="1">
      <c r="E8" s="864" t="str">
        <f>+'Part II-Development Team'!H7&amp;","&amp;" "&amp;'Part II-Development Team'!H8&amp;" "&amp;LEFT('Part II-Development Team'!J8,5)</f>
        <v>Atlanta, GA 30314</v>
      </c>
      <c r="J8" s="3664"/>
      <c r="K8" s="3664"/>
    </row>
    <row r="9" spans="1:13" ht="12" customHeight="1">
      <c r="C9" s="809" t="s">
        <v>3115</v>
      </c>
      <c r="E9" s="3663">
        <f>'Part II-Development Team'!L7</f>
        <v>0</v>
      </c>
      <c r="F9" s="3663"/>
      <c r="J9" s="3664"/>
      <c r="K9" s="3664"/>
    </row>
    <row r="10" spans="1:13" ht="12" customHeight="1">
      <c r="C10" s="809" t="s">
        <v>3116</v>
      </c>
      <c r="E10" s="864" t="str">
        <f>'Part II-Development Team'!Q5</f>
        <v>Leonard Adams</v>
      </c>
    </row>
    <row r="11" spans="1:13" ht="12" customHeight="1">
      <c r="C11" s="809" t="s">
        <v>4317</v>
      </c>
      <c r="E11" s="864" t="str">
        <f>'Part II-Development Team'!L9</f>
        <v>ladams@questcommunities.org</v>
      </c>
    </row>
    <row r="12" spans="1:13" ht="12" customHeight="1">
      <c r="C12" s="809" t="s">
        <v>4313</v>
      </c>
      <c r="E12" s="1475">
        <f>'Part II-Development Team'!H9</f>
        <v>0</v>
      </c>
    </row>
    <row r="13" spans="1:13" ht="12" customHeight="1">
      <c r="C13" s="809" t="s">
        <v>4316</v>
      </c>
      <c r="E13" s="1475">
        <f>'Part II-Development Team'!Q7</f>
        <v>6787055318</v>
      </c>
    </row>
    <row r="14" spans="1:13" ht="3" customHeight="1"/>
    <row r="15" spans="1:13" ht="12" customHeight="1">
      <c r="A15" s="809">
        <v>3</v>
      </c>
      <c r="C15" s="809" t="s">
        <v>3117</v>
      </c>
      <c r="E15" s="864" t="str">
        <f>Overview!C8</f>
        <v>Heritage Village at West Lake</v>
      </c>
    </row>
    <row r="16" spans="1:13" ht="12" customHeight="1">
      <c r="C16" s="809" t="s">
        <v>3118</v>
      </c>
      <c r="E16" s="864" t="str">
        <f>'Part I-Project Information'!$F$35</f>
        <v>239 West Lake Avenue, NW</v>
      </c>
    </row>
    <row r="17" spans="1:8" ht="12" customHeight="1">
      <c r="E17" s="864" t="str">
        <f>+'Part I-Project Information'!$F$38&amp;","&amp;" GA "&amp;LEFT('Part I-Project Information'!$J$38,5)</f>
        <v>Atlanta, GA 30318</v>
      </c>
    </row>
    <row r="18" spans="1:8" ht="3" customHeight="1"/>
    <row r="19" spans="1:8" ht="12" customHeight="1">
      <c r="A19" s="809">
        <v>4</v>
      </c>
      <c r="C19" s="809" t="s">
        <v>3119</v>
      </c>
      <c r="E19" s="864" t="str">
        <f>'Part II-Development Team'!H92</f>
        <v>New Columbia Residential Property Management</v>
      </c>
    </row>
    <row r="20" spans="1:8" ht="12" customHeight="1">
      <c r="C20" s="809" t="s">
        <v>3120</v>
      </c>
      <c r="E20" s="864" t="str">
        <f>'Part II-Development Team'!H93</f>
        <v>1718 Peachtree St, NW, Suite 684</v>
      </c>
    </row>
    <row r="21" spans="1:8" ht="12" customHeight="1">
      <c r="E21" s="864" t="str">
        <f>+'Part II-Development Team'!H94&amp;","&amp;" "&amp;'Part II-Development Team'!H95&amp;" "&amp;LEFT('Part II-Development Team'!L95,5)</f>
        <v>Atlanta, GA 30309</v>
      </c>
    </row>
    <row r="22" spans="1:8" ht="12" customHeight="1">
      <c r="C22" s="809" t="s">
        <v>4313</v>
      </c>
      <c r="E22" s="1475">
        <f>'Part II-Development Team'!H96</f>
        <v>0</v>
      </c>
    </row>
    <row r="23" spans="1:8" ht="12" customHeight="1">
      <c r="C23" s="809" t="s">
        <v>4316</v>
      </c>
      <c r="E23" s="1475">
        <f>'Part II-Development Team'!Q94</f>
        <v>4044191432</v>
      </c>
    </row>
    <row r="24" spans="1:8" ht="12" customHeight="1">
      <c r="C24" s="809" t="s">
        <v>4317</v>
      </c>
      <c r="E24" s="1475" t="str">
        <f>'Part II-Development Team'!L96</f>
        <v>jgrauley@columbiares.com</v>
      </c>
    </row>
    <row r="25" spans="1:8" ht="3" customHeight="1">
      <c r="E25" s="864"/>
    </row>
    <row r="26" spans="1:8" ht="12" customHeight="1">
      <c r="A26" s="809">
        <v>5</v>
      </c>
      <c r="C26" s="809" t="s">
        <v>3121</v>
      </c>
      <c r="E26" s="864" t="str">
        <f>Overview!$H$7</f>
        <v>Substantial Rehabilitation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2000000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Heritage Village West Lake Partners, LLC</v>
      </c>
    </row>
    <row r="48" spans="1:7" ht="3" customHeight="1">
      <c r="E48" s="864"/>
    </row>
    <row r="49" spans="1:7" ht="12" customHeight="1">
      <c r="A49" s="809">
        <v>15</v>
      </c>
      <c r="C49" s="809" t="s">
        <v>4319</v>
      </c>
      <c r="E49" s="864" t="str">
        <f>'Part II-Development Team'!Q98</f>
        <v>Ted Henneman</v>
      </c>
      <c r="G49" s="864" t="str">
        <f>'Part II-Development Team'!H98</f>
        <v>Hunter, MacLean, Exley &amp; Dunn, P.C.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123</v>
      </c>
    </row>
    <row r="53" spans="1:7" ht="3" customHeight="1">
      <c r="F53" s="854"/>
    </row>
    <row r="54" spans="1:7" ht="12" customHeight="1">
      <c r="A54" s="882">
        <v>17</v>
      </c>
      <c r="B54" s="882"/>
      <c r="C54" s="882" t="s">
        <v>3139</v>
      </c>
      <c r="D54" s="882"/>
      <c r="E54" s="882"/>
      <c r="F54" s="1482">
        <f>'Subsidy Layering WS'!K18</f>
        <v>123</v>
      </c>
      <c r="G54" s="882"/>
    </row>
    <row r="55" spans="1:7" ht="3" customHeight="1">
      <c r="F55" s="854"/>
    </row>
    <row r="56" spans="1:7" ht="12" customHeight="1">
      <c r="A56" s="809">
        <v>18</v>
      </c>
      <c r="C56" s="809" t="s">
        <v>3140</v>
      </c>
      <c r="F56" s="1482">
        <f>'Part VI-Revenues &amp; Expenses'!O61</f>
        <v>0</v>
      </c>
      <c r="G56" s="809" t="s">
        <v>4318</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Heritage Village West Lake,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336000</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141000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65" t="s">
        <v>3341</v>
      </c>
      <c r="B1" s="3665"/>
      <c r="C1" s="3665"/>
      <c r="D1" s="3665"/>
      <c r="E1" s="3665"/>
      <c r="F1" s="3665"/>
      <c r="G1" s="3665"/>
      <c r="H1" s="3665"/>
      <c r="I1" s="3665"/>
      <c r="J1" s="3665"/>
    </row>
    <row r="2" spans="1:13" ht="15">
      <c r="A2" s="3665" t="str">
        <f>Overview!E8&amp;"  "&amp;Overview!C8</f>
        <v>2018-017  Heritage Village at West Lake</v>
      </c>
      <c r="B2" s="3665"/>
      <c r="C2" s="3665"/>
      <c r="D2" s="3665"/>
      <c r="E2" s="3665"/>
      <c r="F2" s="3665"/>
      <c r="G2" s="3665"/>
      <c r="H2" s="3665"/>
      <c r="I2" s="3665"/>
      <c r="J2" s="3665"/>
    </row>
    <row r="3" spans="1:13" ht="6" customHeight="1">
      <c r="K3" s="3664" t="s">
        <v>4312</v>
      </c>
      <c r="L3" s="3664"/>
      <c r="M3" s="3664"/>
    </row>
    <row r="4" spans="1:13" ht="12" customHeight="1">
      <c r="A4" s="850" t="s">
        <v>3152</v>
      </c>
      <c r="K4" s="3664"/>
      <c r="L4" s="3664"/>
      <c r="M4" s="3664"/>
    </row>
    <row r="5" spans="1:13" ht="12" customHeight="1">
      <c r="A5" s="809" t="s">
        <v>3153</v>
      </c>
      <c r="C5" s="851" t="str">
        <f>'Subsidy Layering Memo'!D6</f>
        <v>(Underwriter)</v>
      </c>
      <c r="I5" s="851"/>
      <c r="K5" s="3664"/>
      <c r="L5" s="3664"/>
      <c r="M5" s="3664"/>
    </row>
    <row r="6" spans="1:13" ht="6" customHeight="1">
      <c r="C6" s="746"/>
      <c r="D6" s="851"/>
      <c r="I6" s="851"/>
      <c r="K6" s="3664"/>
      <c r="L6" s="3664"/>
      <c r="M6" s="3664"/>
    </row>
    <row r="7" spans="1:13" ht="12" customHeight="1">
      <c r="A7" s="850" t="s">
        <v>3154</v>
      </c>
      <c r="C7" s="746"/>
      <c r="D7" s="851"/>
      <c r="I7" s="851"/>
      <c r="K7" s="3664"/>
      <c r="L7" s="3664"/>
      <c r="M7" s="3664"/>
    </row>
    <row r="8" spans="1:13" ht="12" customHeight="1">
      <c r="A8" s="809" t="s">
        <v>3155</v>
      </c>
      <c r="C8" s="851" t="str">
        <f>Overview!$H$9</f>
        <v>Heritage Village West Lake, L.P.</v>
      </c>
      <c r="I8" s="851"/>
      <c r="K8" s="3664"/>
      <c r="L8" s="3664"/>
      <c r="M8" s="3664"/>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3668"/>
      <c r="E13" s="3668"/>
      <c r="F13" s="3668"/>
      <c r="G13" s="3668"/>
      <c r="H13" s="3668"/>
      <c r="I13" s="3668"/>
      <c r="J13" s="3668"/>
    </row>
    <row r="14" spans="1:13" ht="3" customHeight="1">
      <c r="G14" s="746"/>
      <c r="H14" s="851"/>
      <c r="I14" s="851"/>
    </row>
    <row r="15" spans="1:13" ht="12" customHeight="1">
      <c r="A15" s="809" t="s">
        <v>3158</v>
      </c>
      <c r="C15" s="853" t="str">
        <f>'Preview term'!E10</f>
        <v>Leonard Adams</v>
      </c>
      <c r="G15" s="746"/>
      <c r="I15" s="851"/>
    </row>
    <row r="16" spans="1:13" ht="12" customHeight="1">
      <c r="A16" s="864" t="s">
        <v>4528</v>
      </c>
      <c r="C16" s="853" t="str">
        <f>'Part II-Development Team'!Q6</f>
        <v>CEO</v>
      </c>
      <c r="G16" s="746"/>
      <c r="I16" s="851"/>
    </row>
    <row r="17" spans="1:9" ht="3" customHeight="1">
      <c r="G17" s="746"/>
      <c r="H17" s="851"/>
      <c r="I17" s="851"/>
    </row>
    <row r="18" spans="1:9" ht="12" customHeight="1">
      <c r="A18" s="809" t="s">
        <v>3159</v>
      </c>
      <c r="C18" s="853" t="str">
        <f>'Preview term'!$E$7</f>
        <v>878 Rock St NW</v>
      </c>
      <c r="G18" s="746"/>
      <c r="I18" s="851"/>
    </row>
    <row r="19" spans="1:9" ht="12" customHeight="1">
      <c r="C19" s="853" t="str">
        <f>'Preview term'!$E$8</f>
        <v>Atlanta, GA 30314</v>
      </c>
      <c r="G19" s="746"/>
      <c r="I19" s="851"/>
    </row>
    <row r="20" spans="1:9" ht="3" customHeight="1">
      <c r="G20" s="746"/>
      <c r="H20" s="851"/>
      <c r="I20" s="851"/>
    </row>
    <row r="21" spans="1:9" ht="12" customHeight="1">
      <c r="A21" s="809" t="s">
        <v>3160</v>
      </c>
      <c r="C21" s="853" t="str">
        <f>CONCATENATE('Preview term'!E49," of  ",'Preview term'!G49)</f>
        <v>Ted Henneman of  Hunter, MacLean, Exley &amp; Dunn, P.C.</v>
      </c>
      <c r="G21" s="746"/>
      <c r="I21" s="851"/>
    </row>
    <row r="22" spans="1:9" ht="3" customHeight="1">
      <c r="C22" s="853"/>
      <c r="G22" s="746"/>
      <c r="I22" s="851"/>
    </row>
    <row r="23" spans="1:9" ht="12" customHeight="1">
      <c r="A23" s="809" t="s">
        <v>3161</v>
      </c>
      <c r="C23" s="853">
        <f>'Preview term'!E12</f>
        <v>0</v>
      </c>
      <c r="G23" s="746"/>
      <c r="I23" s="851"/>
    </row>
    <row r="24" spans="1:9" ht="3" customHeight="1">
      <c r="C24" s="853"/>
      <c r="G24" s="746"/>
      <c r="I24" s="851"/>
    </row>
    <row r="25" spans="1:9" ht="12" customHeight="1">
      <c r="A25" s="809" t="s">
        <v>3162</v>
      </c>
      <c r="C25" s="1421" t="str">
        <f>'Preview term'!E11</f>
        <v>ladams@questcommunities.org</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Heritage Village at West Lake</v>
      </c>
      <c r="I28" s="851"/>
    </row>
    <row r="29" spans="1:9" ht="3" customHeight="1">
      <c r="C29" s="853"/>
      <c r="I29" s="851"/>
    </row>
    <row r="30" spans="1:9" ht="12" customHeight="1">
      <c r="A30" s="809" t="s">
        <v>3165</v>
      </c>
      <c r="C30" s="853" t="str">
        <f>'Preview term'!E16</f>
        <v>239 West Lake Avenue, NW</v>
      </c>
      <c r="I30" s="851"/>
    </row>
    <row r="31" spans="1:9">
      <c r="C31" s="851" t="str">
        <f>'Preview term'!E17</f>
        <v>Atlanta, GA 30318</v>
      </c>
      <c r="I31" s="851"/>
    </row>
    <row r="32" spans="1:9" ht="3" customHeight="1">
      <c r="C32" s="746"/>
      <c r="D32" s="746"/>
      <c r="I32" s="746"/>
    </row>
    <row r="33" spans="1:10" ht="12" customHeight="1">
      <c r="A33" s="809" t="s">
        <v>3166</v>
      </c>
      <c r="C33" s="746" t="s">
        <v>3167</v>
      </c>
      <c r="D33" s="1420">
        <f>'Preview term'!F54</f>
        <v>123</v>
      </c>
      <c r="I33" s="746"/>
    </row>
    <row r="34" spans="1:10" ht="12" customHeight="1">
      <c r="C34" s="746" t="s">
        <v>3168</v>
      </c>
      <c r="D34" s="855">
        <f>'Subsidy Layering WS'!H12-'Subsidy Layering WS'!D12</f>
        <v>0</v>
      </c>
      <c r="I34" s="746"/>
    </row>
    <row r="35" spans="1:10" ht="12" customHeight="1">
      <c r="C35" s="746" t="s">
        <v>3169</v>
      </c>
      <c r="D35" s="856">
        <f>SUM(D33:D34)</f>
        <v>123</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3666"/>
      <c r="D39" s="3666"/>
      <c r="E39" s="3666"/>
      <c r="F39" s="3666"/>
      <c r="G39" s="3666"/>
      <c r="H39" s="3666"/>
      <c r="I39" s="3666"/>
      <c r="J39" s="3666"/>
    </row>
    <row r="40" spans="1:10" ht="3" customHeight="1">
      <c r="G40" s="746"/>
      <c r="H40" s="746"/>
      <c r="I40" s="746"/>
    </row>
    <row r="41" spans="1:10" ht="25.5" customHeight="1">
      <c r="A41" s="858" t="s">
        <v>3173</v>
      </c>
      <c r="C41" s="3667" t="s">
        <v>3534</v>
      </c>
      <c r="D41" s="3667"/>
      <c r="E41" s="3667"/>
      <c r="F41" s="3667"/>
      <c r="G41" s="3667"/>
      <c r="H41" s="3667"/>
      <c r="I41" s="3667"/>
      <c r="J41" s="3667"/>
    </row>
    <row r="42" spans="1:10" ht="3" customHeight="1">
      <c r="C42" s="591"/>
      <c r="D42" s="591"/>
      <c r="E42" s="591"/>
      <c r="F42" s="591"/>
      <c r="G42" s="591"/>
      <c r="H42" s="592"/>
      <c r="I42" s="593"/>
      <c r="J42" s="592"/>
    </row>
    <row r="43" spans="1:10" ht="12" customHeight="1">
      <c r="A43" s="809" t="s">
        <v>3174</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3667" t="s">
        <v>580</v>
      </c>
      <c r="D49" s="3667"/>
      <c r="E49" s="3667"/>
      <c r="F49" s="3667"/>
      <c r="G49" s="3667"/>
      <c r="H49" s="3667"/>
      <c r="I49" s="3667"/>
      <c r="J49" s="3667"/>
    </row>
    <row r="50" spans="1:10" ht="12" customHeight="1">
      <c r="C50" s="3672" t="s">
        <v>1821</v>
      </c>
      <c r="D50" s="3672"/>
      <c r="E50" s="3672"/>
      <c r="F50" s="3672"/>
      <c r="G50" s="3672"/>
      <c r="H50" s="3672"/>
      <c r="I50" s="3672"/>
      <c r="J50" s="3672"/>
    </row>
    <row r="51" spans="1:10" ht="3" customHeight="1">
      <c r="D51" s="861"/>
      <c r="E51" s="861"/>
      <c r="F51" s="861"/>
      <c r="G51" s="862"/>
      <c r="H51" s="746"/>
      <c r="I51" s="861"/>
      <c r="J51" s="861"/>
    </row>
    <row r="52" spans="1:10" ht="12" customHeight="1">
      <c r="A52" s="858" t="s">
        <v>3178</v>
      </c>
      <c r="B52" s="858"/>
      <c r="C52" s="863" t="s">
        <v>3179</v>
      </c>
      <c r="D52" s="863" t="s">
        <v>3535</v>
      </c>
      <c r="E52" s="3673"/>
      <c r="F52" s="3673"/>
      <c r="G52" s="3673"/>
      <c r="H52" s="3673"/>
      <c r="I52" s="3673"/>
      <c r="J52" s="3673"/>
    </row>
    <row r="53" spans="1:10" ht="12" customHeight="1">
      <c r="A53" s="858"/>
      <c r="B53" s="858"/>
      <c r="C53" s="858"/>
      <c r="D53" s="863" t="s">
        <v>3536</v>
      </c>
      <c r="E53" s="3674"/>
      <c r="F53" s="3674"/>
      <c r="G53" s="3674"/>
      <c r="H53" s="3674"/>
      <c r="I53" s="3674"/>
      <c r="J53" s="3674"/>
    </row>
    <row r="54" spans="1:10" ht="12" customHeight="1">
      <c r="A54" s="850" t="s">
        <v>3180</v>
      </c>
      <c r="G54" s="746"/>
      <c r="H54" s="746"/>
      <c r="I54" s="746"/>
    </row>
    <row r="55" spans="1:10" ht="18" customHeight="1">
      <c r="A55" s="809" t="s">
        <v>3181</v>
      </c>
      <c r="C55" s="852" t="str">
        <f>Overview!C10</f>
        <v>Heritage Village West Lake Partners,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2000000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3668"/>
      <c r="E68" s="3668"/>
      <c r="F68" s="3668"/>
      <c r="G68" s="3668"/>
      <c r="H68" s="3668"/>
      <c r="I68" s="3668"/>
      <c r="J68" s="3668"/>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3.1614035833626986E-7</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DCA HOME Loan</v>
      </c>
      <c r="I92" s="746"/>
    </row>
    <row r="93" spans="1:9" ht="12" customHeight="1">
      <c r="C93" s="878"/>
      <c r="D93" s="746"/>
      <c r="E93" s="864" t="s">
        <v>1810</v>
      </c>
      <c r="F93" s="3675"/>
      <c r="G93" s="3675"/>
      <c r="H93" s="3675"/>
      <c r="I93" s="746"/>
    </row>
    <row r="94" spans="1:9" ht="12" customHeight="1">
      <c r="C94" s="864"/>
      <c r="D94" s="746"/>
      <c r="E94" s="864" t="s">
        <v>1998</v>
      </c>
      <c r="F94" s="3676"/>
      <c r="G94" s="3676"/>
      <c r="H94" s="3676"/>
      <c r="I94" s="746"/>
    </row>
    <row r="95" spans="1:9" ht="12" customHeight="1">
      <c r="C95" s="864"/>
      <c r="D95" s="746"/>
      <c r="E95" s="864" t="s">
        <v>1813</v>
      </c>
      <c r="F95" s="3671"/>
      <c r="G95" s="3671"/>
      <c r="H95" s="3671"/>
      <c r="I95" s="746"/>
    </row>
    <row r="96" spans="1:9" ht="12" customHeight="1">
      <c r="B96" s="854"/>
      <c r="C96" s="867" t="s">
        <v>3353</v>
      </c>
      <c r="D96" s="746" t="s">
        <v>3207</v>
      </c>
      <c r="E96" s="864" t="str">
        <f>'Part III-Sources of Funds'!E37</f>
        <v>DCA HOME Loan</v>
      </c>
      <c r="I96" s="746"/>
    </row>
    <row r="97" spans="1:10" ht="12" customHeight="1">
      <c r="C97" s="864"/>
      <c r="D97" s="746"/>
      <c r="E97" s="864" t="s">
        <v>1810</v>
      </c>
      <c r="F97" s="3675"/>
      <c r="G97" s="3675"/>
      <c r="H97" s="3675"/>
      <c r="I97" s="746"/>
    </row>
    <row r="98" spans="1:10" ht="12" customHeight="1">
      <c r="C98" s="864"/>
      <c r="D98" s="746"/>
      <c r="E98" s="864" t="s">
        <v>1998</v>
      </c>
      <c r="F98" s="3676"/>
      <c r="G98" s="3676"/>
      <c r="H98" s="3676"/>
      <c r="I98" s="746"/>
    </row>
    <row r="99" spans="1:10" ht="12" customHeight="1">
      <c r="C99" s="864"/>
      <c r="D99" s="746"/>
      <c r="E99" s="864" t="s">
        <v>1813</v>
      </c>
      <c r="F99" s="3671"/>
      <c r="G99" s="3671"/>
      <c r="H99" s="36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3678"/>
      <c r="E106" s="3678"/>
      <c r="F106" s="3678"/>
      <c r="G106" s="3678"/>
      <c r="H106" s="3678"/>
      <c r="I106" s="3678"/>
      <c r="J106" s="3679"/>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3681" t="s">
        <v>4322</v>
      </c>
      <c r="F119" s="3681"/>
      <c r="G119" s="3681"/>
      <c r="H119" s="3681"/>
      <c r="I119" s="3681"/>
      <c r="J119" s="3681"/>
    </row>
    <row r="120" spans="1:10" ht="12" customHeight="1">
      <c r="C120" s="746" t="s">
        <v>3218</v>
      </c>
      <c r="D120" s="1429"/>
      <c r="E120" s="3681"/>
      <c r="F120" s="3681"/>
      <c r="G120" s="3681"/>
      <c r="H120" s="3681"/>
      <c r="I120" s="3681"/>
      <c r="J120" s="3681"/>
    </row>
    <row r="121" spans="1:10" ht="12" customHeight="1">
      <c r="C121" s="746" t="s">
        <v>3219</v>
      </c>
      <c r="D121" s="1429"/>
      <c r="E121" s="3681"/>
      <c r="F121" s="3681"/>
      <c r="G121" s="3681"/>
      <c r="H121" s="3681"/>
      <c r="I121" s="3681"/>
      <c r="J121" s="3681"/>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New Affordable Housing Partners, LLC</v>
      </c>
      <c r="D130" s="852" t="str">
        <f>Overview!K11</f>
        <v>Quest Community Development Organization, Inc</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899239</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New Columbia Residential Property Management</v>
      </c>
      <c r="G137" s="746"/>
      <c r="I137" s="746"/>
      <c r="J137" s="881"/>
    </row>
    <row r="138" spans="1:10" ht="3" customHeight="1">
      <c r="C138" s="852"/>
      <c r="G138" s="746"/>
      <c r="I138" s="746"/>
    </row>
    <row r="139" spans="1:10" ht="12" customHeight="1">
      <c r="A139" s="809" t="s">
        <v>3230</v>
      </c>
      <c r="C139" s="853" t="str">
        <f>C8</f>
        <v>Heritage Village West Lake, L.P.</v>
      </c>
      <c r="G139" s="746"/>
      <c r="I139" s="851"/>
      <c r="J139" s="882"/>
    </row>
    <row r="140" spans="1:10" ht="3" customHeight="1">
      <c r="C140" s="853"/>
      <c r="G140" s="746"/>
      <c r="I140" s="851"/>
      <c r="J140" s="882"/>
    </row>
    <row r="141" spans="1:10" ht="12" customHeight="1">
      <c r="A141" s="809" t="s">
        <v>3231</v>
      </c>
      <c r="C141" s="853" t="str">
        <f>C18</f>
        <v>878 Rock St NW</v>
      </c>
      <c r="G141" s="746"/>
      <c r="I141" s="851"/>
      <c r="J141" s="882"/>
    </row>
    <row r="142" spans="1:10">
      <c r="C142" s="853" t="str">
        <f>C19</f>
        <v>Atlanta, GA 30314</v>
      </c>
      <c r="G142" s="746"/>
      <c r="I142" s="851"/>
      <c r="J142" s="882"/>
    </row>
    <row r="143" spans="1:10" ht="3" customHeight="1">
      <c r="C143" s="883"/>
      <c r="G143" s="746"/>
      <c r="I143" s="851"/>
      <c r="J143" s="882"/>
    </row>
    <row r="144" spans="1:10" ht="12" customHeight="1">
      <c r="A144" s="809" t="s">
        <v>3232</v>
      </c>
      <c r="C144" s="853" t="str">
        <f>Overview!H10</f>
        <v>SunTrust Community Capital, LLC</v>
      </c>
      <c r="G144" s="746"/>
      <c r="I144" s="851"/>
      <c r="J144" s="881"/>
    </row>
    <row r="145" spans="1:10" ht="3" customHeight="1">
      <c r="C145" s="853"/>
      <c r="G145" s="746"/>
      <c r="I145" s="851"/>
      <c r="J145" s="882"/>
    </row>
    <row r="146" spans="1:10" ht="12" customHeight="1">
      <c r="A146" s="809" t="s">
        <v>3233</v>
      </c>
      <c r="C146" s="853" t="str">
        <f>Overview!K10</f>
        <v>SunTrust Community Capital, LLC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3668"/>
      <c r="F164" s="3668"/>
      <c r="G164" s="3668"/>
      <c r="I164" s="746"/>
    </row>
    <row r="165" spans="1:13" ht="3" customHeight="1">
      <c r="E165" s="746"/>
      <c r="G165" s="746"/>
      <c r="I165" s="746"/>
    </row>
    <row r="166" spans="1:13" ht="12" customHeight="1">
      <c r="A166" s="809" t="s">
        <v>3242</v>
      </c>
      <c r="C166" s="809" t="s">
        <v>3243</v>
      </c>
      <c r="E166" s="885">
        <f>'Preview term'!F71</f>
        <v>336000</v>
      </c>
      <c r="G166" s="746"/>
      <c r="I166" s="746"/>
    </row>
    <row r="167" spans="1:13" ht="12" customHeight="1">
      <c r="C167" s="809" t="s">
        <v>3541</v>
      </c>
      <c r="E167" s="3668"/>
      <c r="F167" s="3668"/>
      <c r="G167" s="3668"/>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43050</v>
      </c>
      <c r="F172" s="851" t="s">
        <v>3247</v>
      </c>
      <c r="J172" s="882"/>
      <c r="K172" s="882"/>
      <c r="L172" s="882"/>
      <c r="M172" s="882"/>
    </row>
    <row r="173" spans="1:13">
      <c r="E173" s="885">
        <f>E172/12</f>
        <v>3587.5</v>
      </c>
      <c r="F173" s="746" t="s">
        <v>3099</v>
      </c>
    </row>
    <row r="174" spans="1:13" ht="12" customHeight="1">
      <c r="C174" s="809" t="s">
        <v>3542</v>
      </c>
      <c r="E174" s="3668"/>
      <c r="F174" s="3668"/>
      <c r="G174" s="3668"/>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3668"/>
      <c r="G179" s="3668"/>
      <c r="H179" s="3668"/>
      <c r="I179" s="3668"/>
      <c r="J179" s="3668"/>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141000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3680" t="str">
        <f>'Part VIII-Threshold Criteria'!E393</f>
        <v>Quest Community Development Organization, Inc</v>
      </c>
      <c r="G197" s="3680"/>
      <c r="H197" s="3680"/>
      <c r="I197" s="3680"/>
      <c r="J197" s="3680"/>
    </row>
    <row r="198" spans="1:10" ht="9" customHeight="1">
      <c r="G198" s="746"/>
      <c r="H198" s="746"/>
      <c r="I198" s="746"/>
    </row>
    <row r="199" spans="1:10" ht="12" customHeight="1">
      <c r="A199" s="887" t="s">
        <v>3342</v>
      </c>
      <c r="G199" s="746"/>
      <c r="H199" s="746"/>
      <c r="I199" s="871"/>
    </row>
    <row r="200" spans="1:10" ht="25.5" hidden="1" customHeight="1">
      <c r="A200" s="3669" t="str">
        <f>'Subsidy Layering Memo'!A98</f>
        <v>Include any reserve requirements; explain any reserves far in excess of 6 month ODR, 3 mo lease up, 1 year RR, 6 mo T&amp;I standards.</v>
      </c>
      <c r="B200" s="3669"/>
      <c r="C200" s="3669"/>
      <c r="D200" s="3669"/>
      <c r="E200" s="3669"/>
      <c r="F200" s="3669"/>
      <c r="G200" s="3669"/>
      <c r="H200" s="3669"/>
      <c r="I200" s="3669"/>
      <c r="J200" s="3669"/>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3670" t="s">
        <v>2964</v>
      </c>
      <c r="B204" s="3670"/>
      <c r="C204" s="3670"/>
      <c r="D204" s="3670"/>
      <c r="E204" s="3670"/>
      <c r="F204" s="3670"/>
      <c r="G204" s="3670"/>
      <c r="H204" s="3670"/>
      <c r="I204" s="3670"/>
      <c r="J204" s="3670"/>
    </row>
    <row r="205" spans="1:10">
      <c r="A205" s="746" t="s">
        <v>2965</v>
      </c>
      <c r="G205" s="746"/>
      <c r="H205" s="746"/>
      <c r="I205" s="746"/>
    </row>
    <row r="206" spans="1:10" ht="38.25" customHeight="1">
      <c r="A206" s="3670" t="str">
        <f>'Subsidy Layering Memo'!A37&amp;".  "&amp;'Subsidy Layering Memo'!A38</f>
        <v xml:space="preserve">.  </v>
      </c>
      <c r="B206" s="3677"/>
      <c r="C206" s="3677"/>
      <c r="D206" s="3677"/>
      <c r="E206" s="3677"/>
      <c r="F206" s="3677"/>
      <c r="G206" s="3677"/>
      <c r="H206" s="3677"/>
      <c r="I206" s="3677"/>
      <c r="J206" s="367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Heritage Village at West Lake</v>
      </c>
    </row>
    <row r="2" spans="1:11">
      <c r="A2" s="746" t="s">
        <v>3259</v>
      </c>
      <c r="H2" s="809" t="str">
        <f>Overview!E8</f>
        <v>2018-017</v>
      </c>
    </row>
    <row r="3" spans="1:11" ht="3" customHeight="1"/>
    <row r="4" spans="1:11" ht="51.75" customHeight="1">
      <c r="A4" s="3677" t="s">
        <v>3359</v>
      </c>
      <c r="B4" s="3677"/>
      <c r="C4" s="3677"/>
      <c r="D4" s="3677"/>
      <c r="E4" s="3677"/>
      <c r="F4" s="3677"/>
      <c r="G4" s="3677"/>
      <c r="H4" s="3677"/>
      <c r="J4" s="1444">
        <f>SUM('Part VII-Pro Forma'!B14:B16)/12</f>
        <v>67331.77029</v>
      </c>
      <c r="K4" s="1443" t="s">
        <v>4529</v>
      </c>
    </row>
    <row r="5" spans="1:11" ht="1.5" customHeight="1">
      <c r="C5" s="888"/>
      <c r="D5" s="888"/>
      <c r="E5" s="888"/>
      <c r="F5" s="888"/>
      <c r="G5" s="888"/>
      <c r="H5" s="888"/>
    </row>
    <row r="6" spans="1:11" ht="12.75" customHeight="1">
      <c r="B6" s="889" t="s">
        <v>2451</v>
      </c>
      <c r="C6" s="3677" t="s">
        <v>3260</v>
      </c>
      <c r="D6" s="3677"/>
      <c r="E6" s="3677"/>
      <c r="F6" s="3677"/>
      <c r="G6" s="3677"/>
      <c r="H6" s="3677"/>
    </row>
    <row r="7" spans="1:11" ht="12.75" customHeight="1">
      <c r="B7" s="889" t="s">
        <v>2452</v>
      </c>
      <c r="C7" s="3677" t="s">
        <v>3261</v>
      </c>
      <c r="D7" s="3677"/>
      <c r="E7" s="3677"/>
      <c r="F7" s="3677"/>
      <c r="G7" s="3677"/>
      <c r="H7" s="3677"/>
    </row>
    <row r="8" spans="1:11" ht="3" customHeight="1"/>
    <row r="9" spans="1:11">
      <c r="A9" s="809" t="s">
        <v>3262</v>
      </c>
    </row>
    <row r="10" spans="1:11" ht="1.5" customHeight="1"/>
    <row r="11" spans="1:11" ht="26.25" customHeight="1">
      <c r="A11" s="890" t="s">
        <v>1999</v>
      </c>
      <c r="B11" s="3683" t="s">
        <v>3356</v>
      </c>
      <c r="C11" s="3683"/>
      <c r="D11" s="3683"/>
      <c r="E11" s="3683"/>
      <c r="F11" s="3683"/>
      <c r="G11" s="3684">
        <f>'Part III-Sources of Funds'!I49+'Part III-Sources of Funds'!I50</f>
        <v>13348000</v>
      </c>
      <c r="H11" s="3684"/>
    </row>
    <row r="12" spans="1:11" ht="1.5" customHeight="1">
      <c r="G12" s="858"/>
      <c r="H12" s="858"/>
    </row>
    <row r="13" spans="1:11" ht="26.25" customHeight="1">
      <c r="A13" s="890" t="s">
        <v>2001</v>
      </c>
      <c r="B13" s="3683" t="s">
        <v>3357</v>
      </c>
      <c r="C13" s="3683"/>
      <c r="D13" s="3683"/>
      <c r="E13" s="3683"/>
      <c r="F13" s="3683"/>
      <c r="G13" s="3685" t="s">
        <v>3188</v>
      </c>
      <c r="H13" s="3685"/>
    </row>
    <row r="14" spans="1:11" ht="12" hidden="1" customHeight="1">
      <c r="A14" s="890"/>
      <c r="B14" s="3666"/>
      <c r="C14" s="3666"/>
      <c r="D14" s="3666"/>
      <c r="E14" s="3666"/>
      <c r="F14" s="3666"/>
      <c r="G14" s="3666"/>
      <c r="H14" s="3666"/>
    </row>
    <row r="15" spans="1:11" ht="1.5" customHeight="1"/>
    <row r="16" spans="1:11" ht="12" customHeight="1">
      <c r="A16" s="890" t="s">
        <v>757</v>
      </c>
      <c r="B16" s="809" t="s">
        <v>3361</v>
      </c>
      <c r="F16" s="882"/>
      <c r="G16" s="3663" t="s">
        <v>3014</v>
      </c>
      <c r="H16" s="3663"/>
    </row>
    <row r="17" spans="1:8" ht="1.5" customHeight="1">
      <c r="G17" s="864"/>
    </row>
    <row r="18" spans="1:8" ht="12" customHeight="1">
      <c r="A18" s="890" t="s">
        <v>2131</v>
      </c>
      <c r="B18" s="858" t="s">
        <v>3358</v>
      </c>
      <c r="C18" s="890"/>
      <c r="D18" s="890"/>
      <c r="E18" s="890"/>
      <c r="G18" s="3666" t="s">
        <v>2842</v>
      </c>
      <c r="H18" s="3666"/>
    </row>
    <row r="19" spans="1:8" ht="12" hidden="1" customHeight="1">
      <c r="B19" s="3666"/>
      <c r="C19" s="3666"/>
      <c r="D19" s="3666"/>
      <c r="E19" s="3666"/>
      <c r="F19" s="3666"/>
      <c r="G19" s="3666"/>
      <c r="H19" s="3666"/>
    </row>
    <row r="20" spans="1:8" ht="13.5" customHeight="1"/>
    <row r="21" spans="1:8" ht="12" customHeight="1">
      <c r="A21" s="746" t="s">
        <v>3263</v>
      </c>
    </row>
    <row r="22" spans="1:8" ht="3" customHeight="1"/>
    <row r="23" spans="1:8" ht="26.25" customHeight="1">
      <c r="A23" s="3686" t="s">
        <v>3360</v>
      </c>
      <c r="B23" s="3686"/>
      <c r="C23" s="3686"/>
      <c r="D23" s="3686"/>
      <c r="E23" s="3686"/>
      <c r="F23" s="3686"/>
      <c r="G23" s="3686"/>
      <c r="H23" s="3686"/>
    </row>
    <row r="24" spans="1:8" ht="26.25" customHeight="1">
      <c r="A24" s="3682" t="s">
        <v>3264</v>
      </c>
      <c r="B24" s="3682"/>
      <c r="C24" s="3682"/>
      <c r="D24" s="3682"/>
      <c r="E24" s="3682"/>
      <c r="F24" s="3682"/>
      <c r="G24" s="3682"/>
      <c r="H24" s="3682"/>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3677" t="s">
        <v>3266</v>
      </c>
      <c r="G28" s="3677"/>
      <c r="H28" s="3677"/>
    </row>
    <row r="29" spans="1:8" ht="12.75" customHeight="1">
      <c r="C29" s="895" t="s">
        <v>1365</v>
      </c>
      <c r="D29" s="893" t="s">
        <v>2004</v>
      </c>
      <c r="E29" s="3677" t="s">
        <v>3367</v>
      </c>
      <c r="F29" s="3677"/>
      <c r="G29" s="3677"/>
      <c r="H29" s="3677"/>
    </row>
    <row r="30" spans="1:8" ht="12.75" customHeight="1">
      <c r="E30" s="3677" t="s">
        <v>3547</v>
      </c>
      <c r="F30" s="3677"/>
      <c r="G30" s="3677"/>
      <c r="H30" s="3677"/>
    </row>
    <row r="31" spans="1:8" ht="12.75" customHeight="1">
      <c r="D31" s="896" t="s">
        <v>3366</v>
      </c>
      <c r="E31" s="3677" t="s">
        <v>3548</v>
      </c>
      <c r="F31" s="3677"/>
      <c r="G31" s="3677"/>
      <c r="H31" s="3677"/>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3677" t="s">
        <v>3266</v>
      </c>
      <c r="G35" s="3677"/>
      <c r="H35" s="3677"/>
    </row>
    <row r="36" spans="1:11" ht="12.75" customHeight="1">
      <c r="C36" s="895" t="s">
        <v>1365</v>
      </c>
      <c r="D36" s="893" t="s">
        <v>2004</v>
      </c>
      <c r="E36" s="3677" t="s">
        <v>3368</v>
      </c>
      <c r="F36" s="3677"/>
      <c r="G36" s="3677"/>
      <c r="H36" s="3677"/>
    </row>
    <row r="37" spans="1:11" ht="12.75" customHeight="1">
      <c r="E37" s="3677" t="s">
        <v>3547</v>
      </c>
      <c r="F37" s="3677"/>
      <c r="G37" s="3677"/>
      <c r="H37" s="3677"/>
    </row>
    <row r="38" spans="1:11" ht="12.75" customHeight="1">
      <c r="D38" s="896" t="s">
        <v>3366</v>
      </c>
      <c r="E38" s="3677" t="s">
        <v>3548</v>
      </c>
      <c r="F38" s="3677"/>
      <c r="G38" s="3677"/>
      <c r="H38" s="3677"/>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3677" t="s">
        <v>3266</v>
      </c>
      <c r="G42" s="3677"/>
      <c r="H42" s="3677"/>
      <c r="K42" s="809" t="s">
        <v>245</v>
      </c>
    </row>
    <row r="43" spans="1:11" ht="12.75" customHeight="1">
      <c r="C43" s="895" t="s">
        <v>1365</v>
      </c>
      <c r="D43" s="893" t="s">
        <v>2004</v>
      </c>
      <c r="E43" s="3677" t="s">
        <v>3368</v>
      </c>
      <c r="F43" s="3677"/>
      <c r="G43" s="3677"/>
      <c r="H43" s="3677"/>
    </row>
    <row r="44" spans="1:11" ht="12.75" customHeight="1">
      <c r="E44" s="3677" t="s">
        <v>3547</v>
      </c>
      <c r="F44" s="3677"/>
      <c r="G44" s="3677"/>
      <c r="H44" s="3677"/>
    </row>
    <row r="45" spans="1:11" ht="12.75" customHeight="1">
      <c r="D45" s="896" t="s">
        <v>3366</v>
      </c>
      <c r="E45" s="3677" t="s">
        <v>3548</v>
      </c>
      <c r="F45" s="3677"/>
      <c r="G45" s="3677"/>
      <c r="H45" s="3677"/>
    </row>
    <row r="46" spans="1:11" ht="9" customHeight="1"/>
    <row r="47" spans="1:11" ht="7.5" customHeight="1">
      <c r="E47" s="3677"/>
      <c r="F47" s="3677"/>
      <c r="G47" s="3677"/>
      <c r="H47" s="3677"/>
    </row>
    <row r="48" spans="1:11" ht="24.75" customHeight="1">
      <c r="A48" s="3687" t="s">
        <v>4293</v>
      </c>
      <c r="B48" s="3687"/>
      <c r="C48" s="3687"/>
      <c r="D48" s="3687"/>
      <c r="E48" s="3687"/>
      <c r="F48" s="3687"/>
      <c r="G48" s="3687"/>
      <c r="H48" s="3687"/>
    </row>
    <row r="49" spans="1:11" ht="9" customHeight="1"/>
    <row r="50" spans="1:11" ht="26.25" customHeight="1">
      <c r="A50" s="3686" t="s">
        <v>3549</v>
      </c>
      <c r="B50" s="3686"/>
      <c r="C50" s="3686"/>
      <c r="D50" s="3686"/>
      <c r="E50" s="3686"/>
      <c r="F50" s="3686"/>
      <c r="G50" s="3686"/>
      <c r="H50" s="3686"/>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3677" t="s">
        <v>3266</v>
      </c>
      <c r="G54" s="3677"/>
      <c r="H54" s="3677"/>
    </row>
    <row r="55" spans="1:11" ht="12.75" customHeight="1">
      <c r="C55" s="895" t="s">
        <v>1365</v>
      </c>
      <c r="D55" s="893" t="s">
        <v>2004</v>
      </c>
      <c r="E55" s="3677" t="s">
        <v>3556</v>
      </c>
      <c r="F55" s="3677"/>
      <c r="G55" s="3677"/>
      <c r="H55" s="3677"/>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3677" t="s">
        <v>3266</v>
      </c>
      <c r="G59" s="3677"/>
      <c r="H59" s="3677"/>
    </row>
    <row r="60" spans="1:11" ht="12.75" customHeight="1">
      <c r="C60" s="895" t="s">
        <v>1365</v>
      </c>
      <c r="D60" s="893" t="s">
        <v>2004</v>
      </c>
      <c r="E60" s="3677" t="s">
        <v>3556</v>
      </c>
      <c r="F60" s="3677"/>
      <c r="G60" s="3677"/>
      <c r="H60" s="3677"/>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3677" t="s">
        <v>3266</v>
      </c>
      <c r="G64" s="3677"/>
      <c r="H64" s="3677"/>
      <c r="K64" s="809" t="s">
        <v>245</v>
      </c>
    </row>
    <row r="65" spans="3:8" ht="12.75" customHeight="1">
      <c r="C65" s="895" t="s">
        <v>1365</v>
      </c>
      <c r="D65" s="893" t="s">
        <v>2004</v>
      </c>
      <c r="E65" s="3677" t="s">
        <v>3556</v>
      </c>
      <c r="F65" s="3677"/>
      <c r="G65" s="3677"/>
      <c r="H65" s="3677"/>
    </row>
    <row r="66" spans="3:8" ht="7.5" customHeight="1">
      <c r="E66" s="3677"/>
      <c r="F66" s="3677"/>
      <c r="G66" s="3677"/>
      <c r="H66" s="3677"/>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9" t="s">
        <v>4336</v>
      </c>
      <c r="C1" s="3699"/>
      <c r="D1" s="3699"/>
      <c r="E1" s="3699"/>
      <c r="F1" s="3699"/>
      <c r="G1" s="3699"/>
      <c r="H1" s="3699"/>
      <c r="I1" s="3699"/>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3700" t="s">
        <v>3267</v>
      </c>
      <c r="C4" s="3700"/>
      <c r="D4" s="3700"/>
      <c r="E4" s="3705" t="s">
        <v>3268</v>
      </c>
      <c r="F4" s="3707"/>
      <c r="G4" s="3705" t="s">
        <v>623</v>
      </c>
      <c r="H4" s="3706"/>
      <c r="I4" s="3707"/>
      <c r="J4" s="1485" t="s">
        <v>3112</v>
      </c>
      <c r="K4" s="1485"/>
      <c r="L4" s="1493"/>
      <c r="M4" s="1493"/>
    </row>
    <row r="5" spans="2:13">
      <c r="B5" s="3701" t="str">
        <f>'Closing term sheet'!C8</f>
        <v>Heritage Village West Lake, L.P.</v>
      </c>
      <c r="C5" s="3702"/>
      <c r="D5" s="3702"/>
      <c r="E5" s="3711"/>
      <c r="F5" s="3712"/>
      <c r="G5" s="3708" t="str">
        <f>'Closing term sheet'!C28</f>
        <v>Heritage Village at West Lake</v>
      </c>
      <c r="H5" s="3709"/>
      <c r="I5" s="3710"/>
      <c r="K5" s="809"/>
    </row>
    <row r="6" spans="2:13" ht="4.5" customHeight="1">
      <c r="D6" s="1494"/>
      <c r="E6" s="1494"/>
      <c r="F6" s="1494"/>
      <c r="G6" s="1494"/>
      <c r="H6" s="1494"/>
      <c r="I6" s="1494"/>
      <c r="K6" s="809"/>
    </row>
    <row r="7" spans="2:13">
      <c r="B7" s="3694" t="s">
        <v>3269</v>
      </c>
      <c r="C7" s="3694"/>
      <c r="D7" s="1495"/>
      <c r="E7" s="1495"/>
      <c r="F7" s="1495"/>
      <c r="G7" s="1495"/>
      <c r="H7" s="3703">
        <f>'Preview term'!E9</f>
        <v>0</v>
      </c>
      <c r="I7" s="3704"/>
    </row>
    <row r="8" spans="2:13" ht="4.5" customHeight="1">
      <c r="B8" s="1495"/>
      <c r="C8" s="1495"/>
      <c r="D8" s="1495"/>
      <c r="E8" s="1495"/>
      <c r="F8" s="1495"/>
      <c r="G8" s="1495"/>
      <c r="H8" s="1495"/>
      <c r="I8" s="1495"/>
      <c r="J8" s="1495"/>
    </row>
    <row r="9" spans="2:13">
      <c r="B9" s="1496" t="s">
        <v>3270</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4327</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3713" t="s">
        <v>4344</v>
      </c>
      <c r="I35" s="3714"/>
    </row>
    <row r="36" spans="2:9">
      <c r="B36" s="1522" t="s">
        <v>4343</v>
      </c>
      <c r="C36" s="1520"/>
      <c r="D36" s="1520"/>
      <c r="E36" s="1495"/>
      <c r="F36" s="1523"/>
      <c r="G36" s="1524"/>
      <c r="H36" s="3713"/>
      <c r="I36" s="3714"/>
    </row>
    <row r="37" spans="2:9">
      <c r="B37" s="1522" t="s">
        <v>4341</v>
      </c>
      <c r="D37" s="1520"/>
      <c r="E37" s="1495"/>
      <c r="F37" s="1525"/>
      <c r="G37" s="1524"/>
      <c r="H37" s="3713"/>
      <c r="I37" s="3714"/>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Substantial Rehabilitation</v>
      </c>
      <c r="F47" s="833" t="s">
        <v>4345</v>
      </c>
      <c r="H47" s="1495"/>
      <c r="I47" s="1505"/>
    </row>
    <row r="48" spans="2:9">
      <c r="B48" s="1511" t="s">
        <v>3282</v>
      </c>
      <c r="C48" s="1520"/>
      <c r="D48" s="1520" t="s">
        <v>3283</v>
      </c>
      <c r="E48" s="1495"/>
      <c r="F48" s="3722" t="str">
        <f>'Closing term sheet'!$C$30</f>
        <v>239 West Lake Avenue, NW</v>
      </c>
      <c r="G48" s="3723"/>
      <c r="H48" s="3723"/>
      <c r="I48" s="3724"/>
    </row>
    <row r="49" spans="2:9">
      <c r="B49" s="1511" t="s">
        <v>3284</v>
      </c>
      <c r="D49" s="1520" t="s">
        <v>3285</v>
      </c>
      <c r="E49" s="1495"/>
      <c r="F49" s="3725"/>
      <c r="G49" s="3726"/>
      <c r="H49" s="3726"/>
      <c r="I49" s="3727"/>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4346</v>
      </c>
      <c r="C52" s="3690" t="str">
        <f>'Part I-Project Information'!F38</f>
        <v>Atlanta</v>
      </c>
      <c r="D52" s="3691"/>
      <c r="E52" s="1539" t="s">
        <v>4347</v>
      </c>
      <c r="F52" s="1497" t="s">
        <v>856</v>
      </c>
      <c r="G52" s="1539" t="s">
        <v>4348</v>
      </c>
      <c r="H52" s="1540">
        <f>'Part I-Project Information'!J38</f>
        <v>303186461</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123</v>
      </c>
      <c r="E55" s="1543"/>
      <c r="F55" s="866" t="s">
        <v>3287</v>
      </c>
      <c r="G55" s="1495"/>
      <c r="H55" s="1495"/>
      <c r="I55" s="1505"/>
    </row>
    <row r="56" spans="2:9">
      <c r="B56" s="1531" t="s">
        <v>4514</v>
      </c>
      <c r="D56" s="1544">
        <f>'Closing term sheet'!$D$62</f>
        <v>2000000</v>
      </c>
      <c r="E56" s="1545"/>
      <c r="F56" s="866" t="s">
        <v>3288</v>
      </c>
      <c r="G56" s="1495"/>
      <c r="H56" s="1495"/>
      <c r="I56" s="1505"/>
    </row>
    <row r="57" spans="2:9">
      <c r="B57" s="1522" t="s">
        <v>4513</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696" t="s">
        <v>3290</v>
      </c>
      <c r="C61" s="3697"/>
      <c r="D61" s="3697"/>
      <c r="E61" s="3697"/>
      <c r="F61" s="3697"/>
      <c r="G61" s="3697"/>
      <c r="H61" s="3697"/>
      <c r="I61" s="3698"/>
    </row>
    <row r="62" spans="2:9" ht="7.5" customHeight="1">
      <c r="B62" s="3692"/>
      <c r="C62" s="3693"/>
      <c r="D62" s="3693"/>
      <c r="E62" s="1495"/>
      <c r="F62" s="1495"/>
      <c r="G62" s="1547"/>
      <c r="H62" s="1495"/>
      <c r="I62" s="1505"/>
    </row>
    <row r="63" spans="2:9">
      <c r="B63" s="1548" t="s">
        <v>3292</v>
      </c>
      <c r="C63" s="1495"/>
      <c r="D63" s="1542">
        <v>4</v>
      </c>
      <c r="F63" s="1495"/>
      <c r="G63" s="3694" t="s">
        <v>3291</v>
      </c>
      <c r="H63" s="3694"/>
      <c r="I63" s="3695"/>
    </row>
    <row r="64" spans="2:9">
      <c r="B64" s="1503"/>
      <c r="C64" s="1520" t="s">
        <v>3295</v>
      </c>
      <c r="D64" s="1520" t="s">
        <v>3296</v>
      </c>
      <c r="F64" s="1495"/>
      <c r="G64" s="878" t="s">
        <v>3293</v>
      </c>
      <c r="H64" s="1495"/>
      <c r="I64" s="1549">
        <f>'Closing term sheet'!$D$35</f>
        <v>123</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696" t="s">
        <v>3303</v>
      </c>
      <c r="C81" s="3697"/>
      <c r="D81" s="3697"/>
      <c r="E81" s="3697"/>
      <c r="F81" s="3697"/>
      <c r="G81" s="3697"/>
      <c r="H81" s="3697"/>
      <c r="I81" s="3698"/>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3718">
        <f>'Closing term sheet'!D62</f>
        <v>2000000</v>
      </c>
      <c r="G84" s="3718"/>
      <c r="H84" s="1495"/>
      <c r="I84" s="1505"/>
    </row>
    <row r="85" spans="2:9">
      <c r="B85" s="1503"/>
      <c r="C85" s="886" t="s">
        <v>3306</v>
      </c>
      <c r="D85" s="1495"/>
      <c r="E85" s="1495"/>
      <c r="F85" s="3689">
        <f>'Part III-Sources of Funds'!I44+'Part III-Sources of Funds'!I45</f>
        <v>1522.0019369313932</v>
      </c>
      <c r="G85" s="3689"/>
      <c r="H85" s="1495"/>
      <c r="I85" s="1505"/>
    </row>
    <row r="86" spans="2:9">
      <c r="B86" s="1503"/>
      <c r="C86" s="886" t="s">
        <v>3307</v>
      </c>
      <c r="D86" s="1495"/>
      <c r="E86" s="1495"/>
      <c r="F86" s="3688"/>
      <c r="G86" s="3688"/>
      <c r="H86" s="1495"/>
      <c r="I86" s="1505"/>
    </row>
    <row r="87" spans="2:9">
      <c r="B87" s="1503"/>
      <c r="C87" s="1520" t="s">
        <v>3308</v>
      </c>
      <c r="D87" s="1495"/>
      <c r="E87" s="1495"/>
      <c r="F87" s="3689">
        <v>11000</v>
      </c>
      <c r="G87" s="3689"/>
      <c r="H87" s="1495"/>
      <c r="I87" s="1505"/>
    </row>
    <row r="88" spans="2:9">
      <c r="B88" s="1503"/>
      <c r="C88" s="886" t="s">
        <v>3309</v>
      </c>
      <c r="D88" s="1495"/>
      <c r="E88" s="1495"/>
      <c r="F88" s="3721"/>
      <c r="G88" s="3721"/>
      <c r="H88" s="1495"/>
      <c r="I88" s="1505"/>
    </row>
    <row r="89" spans="2:9">
      <c r="B89" s="1503"/>
      <c r="C89" s="866" t="s">
        <v>3310</v>
      </c>
      <c r="D89" s="1495"/>
      <c r="E89" s="1495"/>
      <c r="F89" s="3716">
        <f>SUM(F84:G88)</f>
        <v>2012522.0019369314</v>
      </c>
      <c r="G89" s="3716"/>
      <c r="H89" s="1495"/>
      <c r="I89" s="1505"/>
    </row>
    <row r="90" spans="2:9">
      <c r="B90" s="1503"/>
      <c r="C90" s="1495"/>
      <c r="D90" s="1495"/>
      <c r="E90" s="1495"/>
      <c r="F90" s="3717"/>
      <c r="G90" s="3717"/>
      <c r="H90" s="1495"/>
      <c r="I90" s="1505"/>
    </row>
    <row r="91" spans="2:9">
      <c r="B91" s="1506" t="s">
        <v>3311</v>
      </c>
      <c r="C91" s="1495"/>
      <c r="D91" s="1495"/>
      <c r="E91" s="1495"/>
      <c r="F91" s="1495"/>
      <c r="G91" s="1495"/>
      <c r="H91" s="1495"/>
      <c r="I91" s="1505"/>
    </row>
    <row r="92" spans="2:9">
      <c r="B92" s="1503"/>
      <c r="C92" s="886" t="s">
        <v>3312</v>
      </c>
      <c r="D92" s="1495"/>
      <c r="E92" s="1495"/>
      <c r="F92" s="3718"/>
      <c r="G92" s="3718"/>
      <c r="H92" s="1495"/>
      <c r="I92" s="1505"/>
    </row>
    <row r="93" spans="2:9">
      <c r="B93" s="1503"/>
      <c r="C93" s="886" t="s">
        <v>3313</v>
      </c>
      <c r="D93" s="1495"/>
      <c r="E93" s="1495"/>
      <c r="F93" s="3719"/>
      <c r="G93" s="3719"/>
      <c r="H93" s="1495"/>
      <c r="I93" s="1505"/>
    </row>
    <row r="94" spans="2:9">
      <c r="B94" s="1503"/>
      <c r="C94" s="886" t="s">
        <v>3314</v>
      </c>
      <c r="D94" s="1495"/>
      <c r="E94" s="1495"/>
      <c r="F94" s="3720" t="s">
        <v>3188</v>
      </c>
      <c r="G94" s="3715"/>
      <c r="H94" s="1495"/>
      <c r="I94" s="1505"/>
    </row>
    <row r="95" spans="2:9">
      <c r="B95" s="1503"/>
      <c r="C95" s="866" t="s">
        <v>3315</v>
      </c>
      <c r="D95" s="1495"/>
      <c r="E95" s="1495"/>
      <c r="F95" s="3716">
        <f>+SUM(F92:G94)</f>
        <v>0</v>
      </c>
      <c r="G95" s="3716"/>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3718"/>
      <c r="G98" s="3718"/>
      <c r="H98" s="1495"/>
      <c r="I98" s="1505"/>
    </row>
    <row r="99" spans="2:9">
      <c r="B99" s="1503"/>
      <c r="C99" s="886" t="s">
        <v>3318</v>
      </c>
      <c r="D99" s="1495"/>
      <c r="E99" s="1495"/>
      <c r="F99" s="3719"/>
      <c r="G99" s="3719"/>
      <c r="H99" s="1495"/>
      <c r="I99" s="1505"/>
    </row>
    <row r="100" spans="2:9">
      <c r="B100" s="1503"/>
      <c r="C100" s="886" t="s">
        <v>3319</v>
      </c>
      <c r="D100" s="1495"/>
      <c r="E100" s="1495"/>
      <c r="F100" s="3721"/>
      <c r="G100" s="3721"/>
      <c r="H100" s="1495"/>
      <c r="I100" s="1505"/>
    </row>
    <row r="101" spans="2:9">
      <c r="B101" s="1503"/>
      <c r="C101" s="866" t="s">
        <v>3320</v>
      </c>
      <c r="D101" s="1495"/>
      <c r="E101" s="1495"/>
      <c r="F101" s="3716">
        <f>+SUM(F98:G100)</f>
        <v>0</v>
      </c>
      <c r="G101" s="3716"/>
      <c r="H101" s="1495"/>
      <c r="I101" s="1505"/>
    </row>
    <row r="102" spans="2:9">
      <c r="B102" s="1503"/>
      <c r="C102" s="1495"/>
      <c r="D102" s="1495"/>
      <c r="E102" s="1495"/>
      <c r="F102" s="1495"/>
      <c r="G102" s="1495"/>
      <c r="H102" s="1495"/>
      <c r="I102" s="1505"/>
    </row>
    <row r="103" spans="2:9">
      <c r="B103" s="1548" t="s">
        <v>3321</v>
      </c>
      <c r="C103" s="886"/>
      <c r="D103" s="1495"/>
      <c r="E103" s="1495"/>
      <c r="F103" s="3715">
        <f>'Part III-Sources of Funds'!I46+'Part III-Sources of Funds'!I47</f>
        <v>0</v>
      </c>
      <c r="G103" s="3715"/>
      <c r="H103" s="1495"/>
      <c r="I103" s="1505"/>
    </row>
    <row r="104" spans="2:9">
      <c r="B104" s="1503"/>
      <c r="C104" s="1495"/>
      <c r="D104" s="1495"/>
      <c r="E104" s="1495"/>
      <c r="F104" s="1495"/>
      <c r="G104" s="1495"/>
      <c r="H104" s="1495"/>
      <c r="I104" s="1553" t="s">
        <v>3322</v>
      </c>
    </row>
    <row r="105" spans="2:9">
      <c r="B105" s="1506" t="s">
        <v>3323</v>
      </c>
      <c r="C105" s="1495"/>
      <c r="D105" s="1495"/>
      <c r="E105" s="1495"/>
      <c r="F105" s="3715">
        <f>+F103+F101+F95+F89</f>
        <v>2012522.0019369314</v>
      </c>
      <c r="G105" s="3715"/>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9" t="s">
        <v>2768</v>
      </c>
      <c r="B5" s="3729"/>
      <c r="C5" s="3729"/>
      <c r="D5" s="3729"/>
      <c r="E5" s="3729"/>
      <c r="F5" s="3729"/>
      <c r="G5" s="3729"/>
      <c r="H5" s="3729"/>
      <c r="I5" s="3729"/>
      <c r="J5" s="3729"/>
      <c r="K5" s="3729"/>
      <c r="L5" s="3729"/>
      <c r="M5" s="3729"/>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30" t="s">
        <v>1921</v>
      </c>
      <c r="B9" s="3730"/>
      <c r="C9" s="3730"/>
      <c r="D9" s="3730"/>
      <c r="E9" s="3730"/>
      <c r="F9" s="3730"/>
      <c r="G9" s="3730"/>
      <c r="H9" s="3730"/>
      <c r="I9" s="3730"/>
      <c r="J9" s="3730"/>
      <c r="K9" s="3730"/>
      <c r="L9" s="3730"/>
      <c r="M9" s="3730"/>
    </row>
    <row r="10" spans="1:26" ht="6.75" customHeight="1">
      <c r="A10" s="3730"/>
      <c r="B10" s="3730"/>
      <c r="C10" s="3730"/>
      <c r="D10" s="3730"/>
      <c r="E10" s="3730"/>
      <c r="F10" s="3730"/>
      <c r="G10" s="3730"/>
      <c r="H10" s="3730"/>
      <c r="I10" s="3730"/>
      <c r="J10" s="3730"/>
      <c r="K10" s="3730"/>
      <c r="L10" s="3730"/>
      <c r="M10" s="3730"/>
    </row>
    <row r="11" spans="1:26" ht="44.25" customHeight="1">
      <c r="A11" s="3731" t="s">
        <v>4128</v>
      </c>
      <c r="B11" s="3731"/>
      <c r="C11" s="3731"/>
      <c r="D11" s="3731"/>
      <c r="E11" s="3731"/>
      <c r="F11" s="3731"/>
      <c r="G11" s="3731"/>
      <c r="H11" s="3731"/>
      <c r="I11" s="3731"/>
      <c r="J11" s="3731"/>
      <c r="K11" s="3731"/>
      <c r="L11" s="3731"/>
      <c r="M11" s="3731"/>
    </row>
    <row r="12" spans="1:26" ht="3" customHeight="1">
      <c r="A12" s="3730"/>
      <c r="B12" s="3730"/>
      <c r="C12" s="3730"/>
      <c r="D12" s="3730"/>
      <c r="E12" s="3730"/>
      <c r="F12" s="3730"/>
      <c r="G12" s="3730"/>
      <c r="H12" s="3730"/>
      <c r="I12" s="3730"/>
      <c r="J12" s="3730"/>
      <c r="K12" s="3730"/>
      <c r="L12" s="3730"/>
      <c r="M12" s="3730"/>
    </row>
    <row r="13" spans="1:26" ht="96" customHeight="1">
      <c r="A13" s="2182" t="s">
        <v>1750</v>
      </c>
      <c r="B13" s="3732" t="s">
        <v>3702</v>
      </c>
      <c r="C13" s="3732"/>
      <c r="D13" s="3732"/>
      <c r="E13" s="3732"/>
      <c r="F13" s="3732"/>
      <c r="G13" s="3732"/>
      <c r="H13" s="3732"/>
      <c r="I13" s="3732"/>
      <c r="J13" s="3732"/>
      <c r="K13" s="3732"/>
      <c r="L13" s="3732"/>
      <c r="M13" s="3732"/>
    </row>
    <row r="14" spans="1:26" ht="47.25" customHeight="1">
      <c r="A14" s="2182" t="s">
        <v>1751</v>
      </c>
      <c r="B14" s="3732" t="s">
        <v>3703</v>
      </c>
      <c r="C14" s="3732"/>
      <c r="D14" s="3732"/>
      <c r="E14" s="3732"/>
      <c r="F14" s="3732"/>
      <c r="G14" s="3732"/>
      <c r="H14" s="3732"/>
      <c r="I14" s="3732"/>
      <c r="J14" s="3732"/>
      <c r="K14" s="3732"/>
      <c r="L14" s="3732"/>
      <c r="M14" s="3732"/>
    </row>
    <row r="15" spans="1:26" ht="117" customHeight="1">
      <c r="A15" s="2182" t="s">
        <v>1752</v>
      </c>
      <c r="B15" s="3732" t="s">
        <v>3704</v>
      </c>
      <c r="C15" s="3732"/>
      <c r="D15" s="3732"/>
      <c r="E15" s="3732"/>
      <c r="F15" s="3732"/>
      <c r="G15" s="3732"/>
      <c r="H15" s="3732"/>
      <c r="I15" s="3732"/>
      <c r="J15" s="3732"/>
      <c r="K15" s="3732"/>
      <c r="L15" s="3732"/>
      <c r="M15" s="3732"/>
    </row>
    <row r="16" spans="1:26" ht="147" customHeight="1">
      <c r="A16" s="2182" t="s">
        <v>2381</v>
      </c>
      <c r="B16" s="3732" t="s">
        <v>3480</v>
      </c>
      <c r="C16" s="3732"/>
      <c r="D16" s="3732"/>
      <c r="E16" s="3732"/>
      <c r="F16" s="3732"/>
      <c r="G16" s="3732"/>
      <c r="H16" s="3732"/>
      <c r="I16" s="3732"/>
      <c r="J16" s="3732"/>
      <c r="K16" s="3732"/>
      <c r="L16" s="3732"/>
      <c r="M16" s="3732"/>
    </row>
    <row r="17" spans="1:13" ht="48.75" customHeight="1">
      <c r="A17" s="2182" t="s">
        <v>1561</v>
      </c>
      <c r="B17" s="3732" t="s">
        <v>689</v>
      </c>
      <c r="C17" s="3732"/>
      <c r="D17" s="3732"/>
      <c r="E17" s="3732"/>
      <c r="F17" s="3732"/>
      <c r="G17" s="3732"/>
      <c r="H17" s="3732"/>
      <c r="I17" s="3732"/>
      <c r="J17" s="3732"/>
      <c r="K17" s="3732"/>
      <c r="L17" s="3732"/>
      <c r="M17" s="3732"/>
    </row>
    <row r="18" spans="1:13" ht="165" customHeight="1">
      <c r="A18" s="2182" t="s">
        <v>1562</v>
      </c>
      <c r="B18" s="3732" t="s">
        <v>3479</v>
      </c>
      <c r="C18" s="3732"/>
      <c r="D18" s="3732"/>
      <c r="E18" s="3732"/>
      <c r="F18" s="3732"/>
      <c r="G18" s="3732"/>
      <c r="H18" s="3732"/>
      <c r="I18" s="3732"/>
      <c r="J18" s="3732"/>
      <c r="K18" s="3732"/>
      <c r="L18" s="3732"/>
      <c r="M18" s="3732"/>
    </row>
    <row r="19" spans="1:13" ht="48.75" customHeight="1">
      <c r="A19" s="2182" t="s">
        <v>99</v>
      </c>
      <c r="B19" s="3728" t="s">
        <v>3705</v>
      </c>
      <c r="C19" s="3728"/>
      <c r="D19" s="3728"/>
      <c r="E19" s="3728"/>
      <c r="F19" s="3728"/>
      <c r="G19" s="3728"/>
      <c r="H19" s="3728"/>
      <c r="I19" s="3728"/>
      <c r="J19" s="3728"/>
      <c r="K19" s="3728"/>
      <c r="L19" s="3728"/>
      <c r="M19" s="3728"/>
    </row>
    <row r="20" spans="1:13" ht="50.25" customHeight="1">
      <c r="A20" s="2182" t="s">
        <v>516</v>
      </c>
      <c r="B20" s="3732" t="s">
        <v>3482</v>
      </c>
      <c r="C20" s="3732"/>
      <c r="D20" s="3732"/>
      <c r="E20" s="3732"/>
      <c r="F20" s="3732"/>
      <c r="G20" s="3732"/>
      <c r="H20" s="3732"/>
      <c r="I20" s="3732"/>
      <c r="J20" s="3732"/>
      <c r="K20" s="3732"/>
      <c r="L20" s="3732"/>
      <c r="M20" s="3732"/>
    </row>
    <row r="21" spans="1:13" ht="31.5" customHeight="1">
      <c r="A21" s="2182" t="s">
        <v>517</v>
      </c>
      <c r="B21" s="3732" t="s">
        <v>3510</v>
      </c>
      <c r="C21" s="3732"/>
      <c r="D21" s="3732"/>
      <c r="E21" s="3732"/>
      <c r="F21" s="3732"/>
      <c r="G21" s="3732"/>
      <c r="H21" s="3732"/>
      <c r="I21" s="3732"/>
      <c r="J21" s="3732"/>
      <c r="K21" s="3732"/>
      <c r="L21" s="3732"/>
      <c r="M21" s="3732"/>
    </row>
    <row r="22" spans="1:13" ht="1.5" customHeight="1">
      <c r="A22" s="3730"/>
      <c r="B22" s="3730"/>
      <c r="C22" s="3730"/>
      <c r="D22" s="3730"/>
      <c r="E22" s="3730"/>
      <c r="F22" s="3730"/>
      <c r="G22" s="3730"/>
      <c r="H22" s="3730"/>
      <c r="I22" s="3730"/>
      <c r="J22" s="3730"/>
      <c r="K22" s="3730"/>
      <c r="L22" s="3730"/>
      <c r="M22" s="3730"/>
    </row>
    <row r="23" spans="1:13" ht="3" customHeight="1">
      <c r="A23" s="3730"/>
      <c r="B23" s="3730"/>
      <c r="C23" s="3730"/>
      <c r="D23" s="3730"/>
      <c r="E23" s="3730"/>
      <c r="F23" s="3730"/>
      <c r="G23" s="3730"/>
      <c r="H23" s="3730"/>
      <c r="I23" s="3730"/>
      <c r="J23" s="3730"/>
      <c r="K23" s="3730"/>
      <c r="L23" s="3730"/>
      <c r="M23" s="3730"/>
    </row>
    <row r="24" spans="1:13" ht="13.5" customHeight="1">
      <c r="A24" s="3730" t="s">
        <v>1477</v>
      </c>
      <c r="B24" s="3730"/>
      <c r="C24" s="3730"/>
      <c r="D24" s="3730"/>
      <c r="E24" s="3730"/>
      <c r="F24" s="3730"/>
      <c r="G24" s="3730"/>
      <c r="H24" s="3730"/>
      <c r="I24" s="3730"/>
      <c r="J24" s="3730"/>
      <c r="K24" s="3730"/>
      <c r="L24" s="3730"/>
      <c r="M24" s="3730"/>
    </row>
    <row r="25" spans="1:13" ht="32.25" customHeight="1">
      <c r="A25" s="2182" t="s">
        <v>1478</v>
      </c>
      <c r="B25" s="3732" t="s">
        <v>3511</v>
      </c>
      <c r="C25" s="3732"/>
      <c r="D25" s="3732"/>
      <c r="E25" s="3732"/>
      <c r="F25" s="3732"/>
      <c r="G25" s="3732"/>
      <c r="H25" s="3732"/>
      <c r="I25" s="3732"/>
      <c r="J25" s="3732"/>
      <c r="K25" s="3732"/>
      <c r="L25" s="3732"/>
      <c r="M25" s="3732"/>
    </row>
    <row r="26" spans="1:13" ht="31.5" customHeight="1">
      <c r="A26" s="2182" t="s">
        <v>1478</v>
      </c>
      <c r="B26" s="3732" t="s">
        <v>3512</v>
      </c>
      <c r="C26" s="3732"/>
      <c r="D26" s="3732"/>
      <c r="E26" s="3732"/>
      <c r="F26" s="3732"/>
      <c r="G26" s="3732"/>
      <c r="H26" s="3732"/>
      <c r="I26" s="3732"/>
      <c r="J26" s="3732"/>
      <c r="K26" s="3732"/>
      <c r="L26" s="3732"/>
      <c r="M26" s="3732"/>
    </row>
    <row r="27" spans="1:13" ht="78.75" customHeight="1">
      <c r="A27" s="2182" t="s">
        <v>1478</v>
      </c>
      <c r="B27" s="3732" t="s">
        <v>2769</v>
      </c>
      <c r="C27" s="3732"/>
      <c r="D27" s="3732"/>
      <c r="E27" s="3732"/>
      <c r="F27" s="3732"/>
      <c r="G27" s="3732"/>
      <c r="H27" s="3732"/>
      <c r="I27" s="3732"/>
      <c r="J27" s="3732"/>
      <c r="K27" s="3732"/>
      <c r="L27" s="3732"/>
      <c r="M27" s="3732"/>
    </row>
    <row r="28" spans="1:13" ht="7.5" customHeight="1">
      <c r="A28" s="3730"/>
      <c r="B28" s="3730"/>
      <c r="C28" s="3730"/>
      <c r="D28" s="3730"/>
      <c r="E28" s="3730"/>
      <c r="F28" s="3730"/>
      <c r="G28" s="3730"/>
      <c r="H28" s="3730"/>
      <c r="I28" s="3730"/>
      <c r="J28" s="3730"/>
      <c r="K28" s="3730"/>
      <c r="L28" s="3730"/>
      <c r="M28" s="3730"/>
    </row>
    <row r="29" spans="1:13" ht="43.5" customHeight="1">
      <c r="A29" s="3732" t="s">
        <v>955</v>
      </c>
      <c r="B29" s="3732"/>
      <c r="C29" s="3732"/>
      <c r="D29" s="3732"/>
      <c r="E29" s="3732"/>
      <c r="F29" s="3732"/>
      <c r="G29" s="3732"/>
      <c r="H29" s="3732"/>
      <c r="I29" s="3732"/>
      <c r="J29" s="3732"/>
      <c r="K29" s="3732"/>
      <c r="L29" s="3732"/>
      <c r="M29" s="3732"/>
    </row>
    <row r="30" spans="1:13" ht="3" customHeight="1">
      <c r="A30" s="3730"/>
      <c r="B30" s="3730"/>
      <c r="C30" s="3730"/>
      <c r="D30" s="3730"/>
      <c r="E30" s="3730"/>
      <c r="F30" s="3730"/>
      <c r="G30" s="3730"/>
      <c r="H30" s="3730"/>
      <c r="I30" s="3730"/>
      <c r="J30" s="3730"/>
      <c r="K30" s="3730"/>
      <c r="L30" s="3730"/>
      <c r="M30" s="3730"/>
    </row>
    <row r="31" spans="1:13" ht="32.25" customHeight="1">
      <c r="A31" s="3732" t="s">
        <v>2770</v>
      </c>
      <c r="B31" s="3732"/>
      <c r="C31" s="3732"/>
      <c r="D31" s="3732"/>
      <c r="E31" s="3732"/>
      <c r="F31" s="3732"/>
      <c r="G31" s="3732"/>
      <c r="H31" s="3732"/>
      <c r="I31" s="3732"/>
      <c r="J31" s="3732"/>
      <c r="K31" s="3732"/>
      <c r="L31" s="3732"/>
      <c r="M31" s="3732"/>
    </row>
    <row r="32" spans="1:13" ht="4.5" customHeight="1">
      <c r="A32" s="3730"/>
      <c r="B32" s="3730"/>
      <c r="C32" s="3730"/>
      <c r="D32" s="3730"/>
      <c r="E32" s="3730"/>
      <c r="F32" s="3730"/>
      <c r="G32" s="3730"/>
      <c r="H32" s="3730"/>
      <c r="I32" s="3730"/>
      <c r="J32" s="3730"/>
      <c r="K32" s="3730"/>
      <c r="L32" s="3730"/>
      <c r="M32" s="3730"/>
    </row>
    <row r="33" spans="1:13" ht="16.5">
      <c r="A33" s="3730" t="s">
        <v>931</v>
      </c>
      <c r="B33" s="3730"/>
      <c r="C33" s="3730"/>
      <c r="D33" s="3730"/>
      <c r="E33" s="3730"/>
      <c r="F33" s="3730"/>
      <c r="G33" s="3730"/>
      <c r="H33" s="3730"/>
      <c r="I33" s="3730"/>
      <c r="J33" s="3730"/>
      <c r="K33" s="3730"/>
      <c r="L33" s="3730"/>
      <c r="M33" s="3730"/>
    </row>
    <row r="34" spans="1:13" ht="6" customHeight="1">
      <c r="A34" s="2183"/>
      <c r="B34" s="2183"/>
      <c r="C34" s="2183"/>
      <c r="D34" s="2183"/>
      <c r="E34" s="2183"/>
      <c r="F34" s="2183"/>
      <c r="G34" s="2183"/>
      <c r="H34" s="2183"/>
      <c r="I34" s="2183"/>
      <c r="J34" s="2183"/>
      <c r="K34" s="2183"/>
      <c r="L34" s="2183"/>
      <c r="M34" s="2183"/>
    </row>
    <row r="35" spans="1:13" ht="16.5">
      <c r="A35" s="3733"/>
      <c r="B35" s="3733"/>
      <c r="C35" s="3733"/>
      <c r="D35" s="3733"/>
      <c r="E35" s="3733"/>
      <c r="F35" s="3733"/>
      <c r="G35" s="2184"/>
      <c r="H35" s="3733"/>
      <c r="I35" s="3733"/>
      <c r="J35" s="3733"/>
      <c r="K35" s="3733"/>
      <c r="L35" s="3733"/>
      <c r="M35" s="3733"/>
    </row>
    <row r="36" spans="1:13" ht="12" customHeight="1">
      <c r="A36" s="3734" t="s">
        <v>932</v>
      </c>
      <c r="B36" s="3734"/>
      <c r="C36" s="3734"/>
      <c r="D36" s="3734"/>
      <c r="E36" s="3734"/>
      <c r="F36" s="3734"/>
      <c r="G36" s="2184"/>
      <c r="H36" s="3734" t="s">
        <v>1996</v>
      </c>
      <c r="I36" s="3734"/>
      <c r="J36" s="3734"/>
      <c r="K36" s="3734"/>
      <c r="L36" s="3734"/>
      <c r="M36" s="3734"/>
    </row>
    <row r="37" spans="1:13" ht="6" customHeight="1">
      <c r="A37" s="2184"/>
      <c r="B37" s="2184"/>
      <c r="C37" s="2184"/>
      <c r="D37" s="2184"/>
      <c r="E37" s="2184"/>
      <c r="F37" s="2184"/>
      <c r="G37" s="2184"/>
      <c r="H37" s="2184"/>
      <c r="I37" s="2184"/>
      <c r="J37" s="2184"/>
      <c r="K37" s="2184"/>
      <c r="L37" s="2184"/>
      <c r="M37" s="2184"/>
    </row>
    <row r="38" spans="1:13" ht="16.5">
      <c r="A38" s="3733"/>
      <c r="B38" s="3733"/>
      <c r="C38" s="3733"/>
      <c r="D38" s="3733"/>
      <c r="E38" s="3733"/>
      <c r="F38" s="3733"/>
      <c r="G38" s="2184"/>
      <c r="H38" s="3735"/>
      <c r="I38" s="3735"/>
      <c r="J38" s="3735"/>
      <c r="K38" s="3735"/>
      <c r="L38" s="3735"/>
      <c r="M38" s="3735"/>
    </row>
    <row r="39" spans="1:13" ht="12" customHeight="1">
      <c r="A39" s="3734" t="s">
        <v>933</v>
      </c>
      <c r="B39" s="3734"/>
      <c r="C39" s="3734"/>
      <c r="D39" s="3734"/>
      <c r="E39" s="3734"/>
      <c r="F39" s="3734"/>
      <c r="G39" s="2184"/>
      <c r="H39" s="3734" t="s">
        <v>934</v>
      </c>
      <c r="I39" s="3734"/>
      <c r="J39" s="3734"/>
      <c r="K39" s="3734"/>
      <c r="L39" s="3734"/>
      <c r="M39" s="3734"/>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36" t="s">
        <v>935</v>
      </c>
      <c r="I41" s="3736"/>
      <c r="J41" s="3736"/>
      <c r="K41" s="3736"/>
      <c r="L41" s="3736"/>
      <c r="M41" s="3736"/>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W+8tRVOfTePl5Gov/iy3YNsEfBaFn4d3woWYAcL2UnuXqApCftziaYiRcqQYJeTS6hEEgDl7VMhpsEZrM7gBjA==" saltValue="hQDUb6kGFPRiNjz2TtQVH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40" t="s">
        <v>729</v>
      </c>
      <c r="B2" s="3741"/>
      <c r="C2" s="3741"/>
      <c r="D2" s="3741"/>
      <c r="E2" s="3741"/>
      <c r="F2" s="3741"/>
      <c r="G2" s="3741"/>
      <c r="H2" s="3741"/>
      <c r="I2" s="3741"/>
      <c r="J2" s="3741"/>
      <c r="K2" s="3741"/>
      <c r="L2" s="3741"/>
      <c r="M2" s="3741"/>
      <c r="N2" s="3741"/>
      <c r="O2" s="3741"/>
      <c r="P2" s="3741"/>
      <c r="Q2" s="3741"/>
      <c r="R2" s="3742"/>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3" t="s">
        <v>3381</v>
      </c>
      <c r="G14" s="3744"/>
      <c r="H14" s="3744"/>
      <c r="I14" s="3744"/>
      <c r="J14" s="3745"/>
      <c r="K14" s="290"/>
      <c r="L14" s="597" t="s">
        <v>3604</v>
      </c>
      <c r="M14" s="290"/>
      <c r="N14" s="3743" t="s">
        <v>3381</v>
      </c>
      <c r="O14" s="3744"/>
      <c r="P14" s="3744"/>
      <c r="Q14" s="3744"/>
      <c r="R14" s="3745"/>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3378</v>
      </c>
      <c r="L15" s="598" t="s">
        <v>2630</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170">
        <f t="shared" ref="N32:R35" si="1">ROUNDDOWN(F32*1.1,0)</f>
        <v>149568</v>
      </c>
      <c r="O32" s="2170">
        <f t="shared" si="1"/>
        <v>195855</v>
      </c>
      <c r="P32" s="2170">
        <f t="shared" si="1"/>
        <v>237749</v>
      </c>
      <c r="Q32" s="2170">
        <f t="shared" si="1"/>
        <v>290785</v>
      </c>
      <c r="R32" s="2170">
        <f t="shared" si="1"/>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170">
        <f t="shared" si="1"/>
        <v>122202</v>
      </c>
      <c r="O33" s="2170">
        <f t="shared" si="1"/>
        <v>171083</v>
      </c>
      <c r="P33" s="2170">
        <f t="shared" si="1"/>
        <v>219963</v>
      </c>
      <c r="Q33" s="2170">
        <f t="shared" si="1"/>
        <v>293285</v>
      </c>
      <c r="R33" s="2170">
        <f t="shared" si="1"/>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170">
        <f t="shared" si="1"/>
        <v>136976</v>
      </c>
      <c r="O34" s="2170">
        <f t="shared" si="1"/>
        <v>179496</v>
      </c>
      <c r="P34" s="2170">
        <f t="shared" si="1"/>
        <v>218328</v>
      </c>
      <c r="Q34" s="2170">
        <f t="shared" si="1"/>
        <v>268142</v>
      </c>
      <c r="R34" s="2170">
        <f t="shared" si="1"/>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170">
        <f t="shared" si="1"/>
        <v>118415</v>
      </c>
      <c r="O35" s="2170">
        <f t="shared" si="1"/>
        <v>163563</v>
      </c>
      <c r="P35" s="2170">
        <f t="shared" si="1"/>
        <v>207445</v>
      </c>
      <c r="Q35" s="2170">
        <f t="shared" si="1"/>
        <v>270889</v>
      </c>
      <c r="R35" s="2170">
        <f t="shared" si="1"/>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170">
        <f t="shared" ref="N36:R51" si="2">ROUNDDOWN(F36*1.1,0)</f>
        <v>143882</v>
      </c>
      <c r="O36" s="2170">
        <f t="shared" si="2"/>
        <v>187852</v>
      </c>
      <c r="P36" s="2170">
        <f t="shared" si="2"/>
        <v>227522</v>
      </c>
      <c r="Q36" s="2170">
        <f t="shared" si="2"/>
        <v>277347</v>
      </c>
      <c r="R36" s="2170">
        <f t="shared" si="2"/>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170">
        <f t="shared" si="2"/>
        <v>116912</v>
      </c>
      <c r="O37" s="2170">
        <f t="shared" si="2"/>
        <v>163676</v>
      </c>
      <c r="P37" s="2170">
        <f t="shared" si="2"/>
        <v>210442</v>
      </c>
      <c r="Q37" s="2170">
        <f t="shared" si="2"/>
        <v>280589</v>
      </c>
      <c r="R37" s="2170">
        <f t="shared" si="2"/>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170">
        <f t="shared" si="2"/>
        <v>132779</v>
      </c>
      <c r="O38" s="2170">
        <f t="shared" si="2"/>
        <v>173429</v>
      </c>
      <c r="P38" s="2170">
        <f t="shared" si="2"/>
        <v>210398</v>
      </c>
      <c r="Q38" s="2170">
        <f t="shared" si="2"/>
        <v>257383</v>
      </c>
      <c r="R38" s="2170">
        <f t="shared" si="2"/>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170">
        <f t="shared" si="2"/>
        <v>115899</v>
      </c>
      <c r="O39" s="2170">
        <f t="shared" si="2"/>
        <v>160305</v>
      </c>
      <c r="P39" s="2170">
        <f t="shared" si="2"/>
        <v>203593</v>
      </c>
      <c r="Q39" s="2170">
        <f t="shared" si="2"/>
        <v>266427</v>
      </c>
      <c r="R39" s="2170">
        <f t="shared" si="2"/>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170">
        <f t="shared" si="2"/>
        <v>140580</v>
      </c>
      <c r="O40" s="2170">
        <f t="shared" si="2"/>
        <v>183904</v>
      </c>
      <c r="P40" s="2170">
        <f t="shared" si="2"/>
        <v>223077</v>
      </c>
      <c r="Q40" s="2170">
        <f t="shared" si="2"/>
        <v>272540</v>
      </c>
      <c r="R40" s="2170">
        <f t="shared" si="2"/>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170">
        <f t="shared" si="2"/>
        <v>114649</v>
      </c>
      <c r="O41" s="2170">
        <f t="shared" si="2"/>
        <v>160509</v>
      </c>
      <c r="P41" s="2170">
        <f t="shared" si="2"/>
        <v>206369</v>
      </c>
      <c r="Q41" s="2170">
        <f t="shared" si="2"/>
        <v>275159</v>
      </c>
      <c r="R41" s="2170">
        <f t="shared" si="2"/>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170">
        <f t="shared" si="2"/>
        <v>129070</v>
      </c>
      <c r="O42" s="2170">
        <f t="shared" si="2"/>
        <v>168953</v>
      </c>
      <c r="P42" s="2170">
        <f t="shared" si="2"/>
        <v>205327</v>
      </c>
      <c r="Q42" s="2170">
        <f t="shared" si="2"/>
        <v>251845</v>
      </c>
      <c r="R42" s="2170">
        <f t="shared" si="2"/>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170">
        <f t="shared" si="2"/>
        <v>111940</v>
      </c>
      <c r="O43" s="2170">
        <f t="shared" si="2"/>
        <v>154689</v>
      </c>
      <c r="P43" s="2170">
        <f t="shared" si="2"/>
        <v>196281</v>
      </c>
      <c r="Q43" s="2170">
        <f t="shared" si="2"/>
        <v>256494</v>
      </c>
      <c r="R43" s="2170">
        <f t="shared" si="2"/>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170">
        <f t="shared" si="2"/>
        <v>148681</v>
      </c>
      <c r="O44" s="2170">
        <f t="shared" si="2"/>
        <v>194286</v>
      </c>
      <c r="P44" s="2170">
        <f t="shared" si="2"/>
        <v>235471</v>
      </c>
      <c r="Q44" s="2170">
        <f t="shared" si="2"/>
        <v>287320</v>
      </c>
      <c r="R44" s="2170">
        <f t="shared" si="2"/>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170">
        <f t="shared" si="2"/>
        <v>121006</v>
      </c>
      <c r="O45" s="2170">
        <f t="shared" si="2"/>
        <v>169408</v>
      </c>
      <c r="P45" s="2170">
        <f t="shared" si="2"/>
        <v>217812</v>
      </c>
      <c r="Q45" s="2170">
        <f t="shared" si="2"/>
        <v>290415</v>
      </c>
      <c r="R45" s="2170">
        <f t="shared" si="2"/>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170">
        <f t="shared" si="2"/>
        <v>136900</v>
      </c>
      <c r="O46" s="2170">
        <f t="shared" si="2"/>
        <v>178983</v>
      </c>
      <c r="P46" s="2170">
        <f t="shared" si="2"/>
        <v>217302</v>
      </c>
      <c r="Q46" s="2170">
        <f t="shared" si="2"/>
        <v>266138</v>
      </c>
      <c r="R46" s="2170">
        <f t="shared" si="2"/>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170">
        <f t="shared" si="2"/>
        <v>119161</v>
      </c>
      <c r="O47" s="2170">
        <f t="shared" si="2"/>
        <v>164753</v>
      </c>
      <c r="P47" s="2170">
        <f t="shared" si="2"/>
        <v>209159</v>
      </c>
      <c r="Q47" s="2170">
        <f t="shared" si="2"/>
        <v>273541</v>
      </c>
      <c r="R47" s="2170">
        <f t="shared" si="2"/>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170">
        <f t="shared" si="2"/>
        <v>135289</v>
      </c>
      <c r="O48" s="2170">
        <f t="shared" si="2"/>
        <v>177072</v>
      </c>
      <c r="P48" s="2170">
        <f t="shared" si="2"/>
        <v>214871</v>
      </c>
      <c r="Q48" s="2170">
        <f t="shared" si="2"/>
        <v>262664</v>
      </c>
      <c r="R48" s="2170">
        <f t="shared" si="2"/>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170">
        <f t="shared" si="2"/>
        <v>110437</v>
      </c>
      <c r="O49" s="2170">
        <f t="shared" si="2"/>
        <v>154613</v>
      </c>
      <c r="P49" s="2170">
        <f t="shared" si="2"/>
        <v>198788</v>
      </c>
      <c r="Q49" s="2170">
        <f t="shared" si="2"/>
        <v>265051</v>
      </c>
      <c r="R49" s="2170">
        <f t="shared" si="2"/>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170">
        <f t="shared" si="2"/>
        <v>124050</v>
      </c>
      <c r="O50" s="2170">
        <f t="shared" si="2"/>
        <v>162473</v>
      </c>
      <c r="P50" s="2170">
        <f t="shared" si="2"/>
        <v>197539</v>
      </c>
      <c r="Q50" s="2170">
        <f t="shared" si="2"/>
        <v>242456</v>
      </c>
      <c r="R50" s="2170">
        <f t="shared" si="2"/>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170">
        <f t="shared" si="2"/>
        <v>107407</v>
      </c>
      <c r="O51" s="2170">
        <f t="shared" si="2"/>
        <v>148392</v>
      </c>
      <c r="P51" s="2170">
        <f t="shared" si="2"/>
        <v>188246</v>
      </c>
      <c r="Q51" s="2170">
        <f t="shared" si="2"/>
        <v>245902</v>
      </c>
      <c r="R51" s="2170">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3746">
        <v>1000</v>
      </c>
      <c r="R78" s="3747"/>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46">
        <v>500</v>
      </c>
      <c r="R79" s="3747"/>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46">
        <v>1500</v>
      </c>
      <c r="R80" s="3747"/>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3746">
        <v>1500</v>
      </c>
      <c r="R81" s="3747"/>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3746">
        <v>1500</v>
      </c>
      <c r="R82" s="3747"/>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3746">
        <v>1500</v>
      </c>
      <c r="R83" s="3747"/>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46">
        <v>6500</v>
      </c>
      <c r="R84" s="3747"/>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46">
        <v>5500</v>
      </c>
      <c r="R85" s="3747"/>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3746">
        <v>5000</v>
      </c>
      <c r="R86" s="3747"/>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3746">
        <v>1500</v>
      </c>
      <c r="R87" s="3747"/>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9">
        <v>0.08</v>
      </c>
      <c r="R88" s="373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9">
        <v>0.08</v>
      </c>
      <c r="R89" s="3739"/>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3746">
        <v>3000</v>
      </c>
      <c r="R90" s="3747"/>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3746">
        <v>1500</v>
      </c>
      <c r="R91" s="3747"/>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3746">
        <v>75</v>
      </c>
      <c r="R96" s="3747"/>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3750">
        <v>1800000</v>
      </c>
      <c r="R97" s="3751"/>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3750">
        <v>3500000</v>
      </c>
      <c r="R98" s="3751"/>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48">
        <v>0.15</v>
      </c>
      <c r="R99" s="3749"/>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3748">
        <v>0.15</v>
      </c>
      <c r="R100" s="3749"/>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48">
        <v>0.15</v>
      </c>
      <c r="R101" s="3749"/>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48">
        <v>0.15</v>
      </c>
      <c r="R102" s="3749"/>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48">
        <v>0.15</v>
      </c>
      <c r="R103" s="3749"/>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48">
        <v>0.15</v>
      </c>
      <c r="R104" s="3749"/>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48" t="s">
        <v>2389</v>
      </c>
      <c r="R105" s="3749"/>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46">
        <v>3000</v>
      </c>
      <c r="R111" s="3747"/>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9">
        <v>0.02</v>
      </c>
      <c r="R119" s="373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9">
        <v>7.0000000000000007E-2</v>
      </c>
      <c r="R120" s="373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9">
        <v>7.0000000000000007E-2</v>
      </c>
      <c r="R121" s="373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9">
        <v>0.03</v>
      </c>
      <c r="R122" s="373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9">
        <v>0.03</v>
      </c>
      <c r="R123" s="373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9">
        <v>0</v>
      </c>
      <c r="R124" s="373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9">
        <v>0.1</v>
      </c>
      <c r="R126" s="373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38">
        <v>1000000</v>
      </c>
      <c r="R127" s="3738"/>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38">
        <v>1500000</v>
      </c>
      <c r="R128" s="3738"/>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38">
        <v>375000</v>
      </c>
      <c r="R129" s="3738"/>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3738">
        <v>4000000</v>
      </c>
      <c r="R130" s="3738"/>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3739">
        <v>0.35</v>
      </c>
      <c r="R133" s="373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9" t="s">
        <v>2838</v>
      </c>
      <c r="R134" s="373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3739">
        <v>0.05</v>
      </c>
      <c r="R136" s="3739"/>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3739">
        <v>0.4</v>
      </c>
      <c r="R137" s="3739"/>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3739">
        <v>0.02</v>
      </c>
      <c r="R138" s="373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7" t="s">
        <v>4231</v>
      </c>
      <c r="E151" s="292"/>
      <c r="F151" s="292"/>
    </row>
    <row r="152" spans="2:30" ht="10.5" customHeight="1">
      <c r="C152" s="3737"/>
      <c r="E152" s="292"/>
      <c r="F152" s="292"/>
    </row>
    <row r="153" spans="2:30" ht="10.5" customHeight="1">
      <c r="C153" s="37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173" t="s">
        <v>2616</v>
      </c>
      <c r="N155" s="2173" t="s">
        <v>1338</v>
      </c>
      <c r="O155" s="2174"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173" t="s">
        <v>2616</v>
      </c>
      <c r="N156" s="2173" t="s">
        <v>1709</v>
      </c>
      <c r="O156" s="2174"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173" t="s">
        <v>2616</v>
      </c>
      <c r="N157" s="2173" t="s">
        <v>1709</v>
      </c>
      <c r="O157" s="2174"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173" t="s">
        <v>1207</v>
      </c>
      <c r="N158" s="2173" t="s">
        <v>1795</v>
      </c>
      <c r="O158" s="2174"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173" t="s">
        <v>2616</v>
      </c>
      <c r="N159" s="2173" t="s">
        <v>1332</v>
      </c>
      <c r="O159" s="2174"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1836</v>
      </c>
      <c r="L160" s="1082" t="s">
        <v>425</v>
      </c>
      <c r="M160" s="2173" t="s">
        <v>2616</v>
      </c>
      <c r="N160" s="2173" t="s">
        <v>167</v>
      </c>
      <c r="O160" s="2174"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173" t="s">
        <v>1207</v>
      </c>
      <c r="N161" s="2173" t="s">
        <v>1217</v>
      </c>
      <c r="O161" s="2174"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173" t="s">
        <v>1207</v>
      </c>
      <c r="N162" s="2173" t="s">
        <v>1217</v>
      </c>
      <c r="O162" s="2174"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173" t="s">
        <v>2616</v>
      </c>
      <c r="N163" s="2173" t="s">
        <v>1795</v>
      </c>
      <c r="O163" s="2174"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173" t="s">
        <v>2616</v>
      </c>
      <c r="N164" s="2173" t="s">
        <v>1709</v>
      </c>
      <c r="O164" s="2174"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173" t="s">
        <v>1207</v>
      </c>
      <c r="N165" s="2173" t="s">
        <v>1332</v>
      </c>
      <c r="O165" s="2174"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173" t="s">
        <v>2616</v>
      </c>
      <c r="N166" s="2173" t="s">
        <v>1332</v>
      </c>
      <c r="O166" s="2174"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173" t="s">
        <v>1207</v>
      </c>
      <c r="N167" s="2173" t="s">
        <v>1709</v>
      </c>
      <c r="O167" s="2174"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173" t="s">
        <v>1207</v>
      </c>
      <c r="N168" s="2173" t="s">
        <v>1709</v>
      </c>
      <c r="O168" s="2174"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173" t="s">
        <v>1207</v>
      </c>
      <c r="N169" s="2173" t="s">
        <v>1338</v>
      </c>
      <c r="O169" s="2174"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173" t="s">
        <v>2616</v>
      </c>
      <c r="N170" s="2173" t="s">
        <v>1338</v>
      </c>
      <c r="O170" s="2174"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173" t="s">
        <v>2616</v>
      </c>
      <c r="N171" s="2173" t="s">
        <v>1342</v>
      </c>
      <c r="O171" s="2174"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173" t="s">
        <v>2616</v>
      </c>
      <c r="N172" s="2173" t="s">
        <v>1217</v>
      </c>
      <c r="O172" s="2174"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173" t="s">
        <v>2616</v>
      </c>
      <c r="N173" s="2173" t="s">
        <v>1795</v>
      </c>
      <c r="O173" s="2174"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173" t="s">
        <v>2616</v>
      </c>
      <c r="N174" s="2173" t="s">
        <v>1709</v>
      </c>
      <c r="O174" s="2174"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173" t="s">
        <v>2616</v>
      </c>
      <c r="N175" s="2173" t="s">
        <v>1338</v>
      </c>
      <c r="O175" s="2174"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173" t="s">
        <v>1207</v>
      </c>
      <c r="N176" s="2173" t="s">
        <v>1217</v>
      </c>
      <c r="O176" s="2174"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173" t="s">
        <v>2616</v>
      </c>
      <c r="N177" s="2173" t="s">
        <v>1533</v>
      </c>
      <c r="O177" s="2174"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173" t="s">
        <v>2616</v>
      </c>
      <c r="N178" s="2173" t="s">
        <v>1709</v>
      </c>
      <c r="O178" s="2174"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173" t="s">
        <v>1207</v>
      </c>
      <c r="N179" s="2173" t="s">
        <v>1338</v>
      </c>
      <c r="O179" s="2174"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173" t="s">
        <v>2616</v>
      </c>
      <c r="N180" s="2173" t="s">
        <v>162</v>
      </c>
      <c r="O180" s="2174"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173" t="s">
        <v>2616</v>
      </c>
      <c r="N181" s="2173" t="s">
        <v>1533</v>
      </c>
      <c r="O181" s="2174"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173" t="s">
        <v>1207</v>
      </c>
      <c r="N182" s="2173" t="s">
        <v>1217</v>
      </c>
      <c r="O182" s="2174"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175" t="s">
        <v>1207</v>
      </c>
      <c r="N183" s="2175" t="s">
        <v>167</v>
      </c>
      <c r="O183" s="2174"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175" t="s">
        <v>2616</v>
      </c>
      <c r="N184" s="2175" t="s">
        <v>1795</v>
      </c>
      <c r="O184" s="2174"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173" t="s">
        <v>1207</v>
      </c>
      <c r="N185" s="2173" t="s">
        <v>1217</v>
      </c>
      <c r="O185" s="2174"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175" t="s">
        <v>2616</v>
      </c>
      <c r="N186" s="2175" t="s">
        <v>1709</v>
      </c>
      <c r="O186" s="2174"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173" t="s">
        <v>1207</v>
      </c>
      <c r="N187" s="2173" t="s">
        <v>1217</v>
      </c>
      <c r="O187" s="2174"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175" t="s">
        <v>2616</v>
      </c>
      <c r="N188" s="2175" t="s">
        <v>1709</v>
      </c>
      <c r="O188" s="2174"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175" t="s">
        <v>2616</v>
      </c>
      <c r="N189" s="2175" t="s">
        <v>1795</v>
      </c>
      <c r="O189" s="2174"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173" t="s">
        <v>2616</v>
      </c>
      <c r="N190" s="2173" t="s">
        <v>1342</v>
      </c>
      <c r="O190" s="2174"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175" t="s">
        <v>2616</v>
      </c>
      <c r="N191" s="2175" t="s">
        <v>1709</v>
      </c>
      <c r="O191" s="2174"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173" t="s">
        <v>1207</v>
      </c>
      <c r="N192" s="2173" t="s">
        <v>1217</v>
      </c>
      <c r="O192" s="2174"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173" t="s">
        <v>2616</v>
      </c>
      <c r="N193" s="2173" t="s">
        <v>1332</v>
      </c>
      <c r="O193" s="2174"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175" t="s">
        <v>2616</v>
      </c>
      <c r="N194" s="2175" t="s">
        <v>1795</v>
      </c>
      <c r="O194" s="2174"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173" t="s">
        <v>2616</v>
      </c>
      <c r="N195" s="2173" t="s">
        <v>1533</v>
      </c>
      <c r="O195" s="2174"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173" t="s">
        <v>1207</v>
      </c>
      <c r="N196" s="2173" t="s">
        <v>1217</v>
      </c>
      <c r="O196" s="2174"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175" t="s">
        <v>2616</v>
      </c>
      <c r="N197" s="2175" t="s">
        <v>1795</v>
      </c>
      <c r="O197" s="2174"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173" t="s">
        <v>1207</v>
      </c>
      <c r="N198" s="2173" t="s">
        <v>1217</v>
      </c>
      <c r="O198" s="2174"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175" t="s">
        <v>2616</v>
      </c>
      <c r="N199" s="2175" t="s">
        <v>1332</v>
      </c>
      <c r="O199" s="2174"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175" t="s">
        <v>2616</v>
      </c>
      <c r="N200" s="2175" t="s">
        <v>1795</v>
      </c>
      <c r="O200" s="2174"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175" t="s">
        <v>1207</v>
      </c>
      <c r="N201" s="2175" t="s">
        <v>1795</v>
      </c>
      <c r="O201" s="2174"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173" t="s">
        <v>1207</v>
      </c>
      <c r="N202" s="2173" t="s">
        <v>1217</v>
      </c>
      <c r="O202" s="2174"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175" t="s">
        <v>2616</v>
      </c>
      <c r="N203" s="2175" t="s">
        <v>1795</v>
      </c>
      <c r="O203" s="2174"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173" t="s">
        <v>2616</v>
      </c>
      <c r="N204" s="2173" t="s">
        <v>1709</v>
      </c>
      <c r="O204" s="2174"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173" t="s">
        <v>2616</v>
      </c>
      <c r="N205" s="2173" t="s">
        <v>1338</v>
      </c>
      <c r="O205" s="2174"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175" t="s">
        <v>2616</v>
      </c>
      <c r="N206" s="2175" t="s">
        <v>167</v>
      </c>
      <c r="O206" s="2174"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175" t="s">
        <v>2616</v>
      </c>
      <c r="N207" s="2175" t="s">
        <v>1342</v>
      </c>
      <c r="O207" s="2174"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175" t="s">
        <v>2616</v>
      </c>
      <c r="N208" s="2175" t="s">
        <v>1338</v>
      </c>
      <c r="O208" s="2174"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175" t="s">
        <v>2616</v>
      </c>
      <c r="N209" s="2175" t="s">
        <v>1217</v>
      </c>
      <c r="O209" s="2174"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173" t="s">
        <v>1207</v>
      </c>
      <c r="N210" s="2173" t="s">
        <v>1217</v>
      </c>
      <c r="O210" s="2174"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175" t="s">
        <v>1207</v>
      </c>
      <c r="N211" s="2175" t="s">
        <v>1217</v>
      </c>
      <c r="O211" s="2174"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173" t="s">
        <v>1207</v>
      </c>
      <c r="N212" s="2173" t="s">
        <v>1217</v>
      </c>
      <c r="O212" s="2174"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175" t="s">
        <v>2616</v>
      </c>
      <c r="N213" s="2175" t="s">
        <v>167</v>
      </c>
      <c r="O213" s="2174"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173" t="s">
        <v>1207</v>
      </c>
      <c r="N214" s="2173" t="s">
        <v>1217</v>
      </c>
      <c r="O214" s="2174"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175" t="s">
        <v>2616</v>
      </c>
      <c r="N215" s="2175" t="s">
        <v>1217</v>
      </c>
      <c r="O215" s="2174"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175" t="s">
        <v>2616</v>
      </c>
      <c r="N216" s="2175" t="s">
        <v>1342</v>
      </c>
      <c r="O216" s="2174"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175" t="s">
        <v>1207</v>
      </c>
      <c r="N217" s="2175" t="s">
        <v>1338</v>
      </c>
      <c r="O217" s="2174"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175" t="s">
        <v>2616</v>
      </c>
      <c r="N218" s="2175" t="s">
        <v>1217</v>
      </c>
      <c r="O218" s="2174"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175" t="s">
        <v>2616</v>
      </c>
      <c r="N219" s="2175" t="s">
        <v>1795</v>
      </c>
      <c r="O219" s="2174"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175" t="s">
        <v>2616</v>
      </c>
      <c r="N220" s="2175" t="s">
        <v>167</v>
      </c>
      <c r="O220" s="2174"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173" t="s">
        <v>1207</v>
      </c>
      <c r="N221" s="2173" t="s">
        <v>1217</v>
      </c>
      <c r="O221" s="2174"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175" t="s">
        <v>2616</v>
      </c>
      <c r="N222" s="2175" t="s">
        <v>167</v>
      </c>
      <c r="O222" s="2174"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175" t="s">
        <v>1207</v>
      </c>
      <c r="N223" s="2175" t="s">
        <v>1217</v>
      </c>
      <c r="O223" s="2174"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175" t="s">
        <v>2616</v>
      </c>
      <c r="N224" s="2175" t="s">
        <v>1332</v>
      </c>
      <c r="O224" s="2174"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173" t="s">
        <v>2616</v>
      </c>
      <c r="N225" s="2173" t="s">
        <v>1217</v>
      </c>
      <c r="O225" s="2174"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173" t="s">
        <v>2616</v>
      </c>
      <c r="N226" s="2173" t="s">
        <v>162</v>
      </c>
      <c r="O226" s="2174"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175" t="s">
        <v>2616</v>
      </c>
      <c r="N227" s="2175" t="s">
        <v>167</v>
      </c>
      <c r="O227" s="2174"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173" t="s">
        <v>1207</v>
      </c>
      <c r="N228" s="2173" t="s">
        <v>1217</v>
      </c>
      <c r="O228" s="2174"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173" t="s">
        <v>1207</v>
      </c>
      <c r="N229" s="2173" t="s">
        <v>1217</v>
      </c>
      <c r="O229" s="2174"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175" t="s">
        <v>1207</v>
      </c>
      <c r="N230" s="2175" t="s">
        <v>1332</v>
      </c>
      <c r="O230" s="2174"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175" t="s">
        <v>2616</v>
      </c>
      <c r="N231" s="2175" t="s">
        <v>1795</v>
      </c>
      <c r="O231" s="2174"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175" t="s">
        <v>2616</v>
      </c>
      <c r="N232" s="2175" t="s">
        <v>1217</v>
      </c>
      <c r="O232" s="2174"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173" t="s">
        <v>1207</v>
      </c>
      <c r="N233" s="2173" t="s">
        <v>1217</v>
      </c>
      <c r="O233" s="2174"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175" t="s">
        <v>2616</v>
      </c>
      <c r="N234" s="2175" t="s">
        <v>1709</v>
      </c>
      <c r="O234" s="2174" t="s">
        <v>4429</v>
      </c>
      <c r="P234" s="586" t="s">
        <v>61</v>
      </c>
      <c r="Q234" s="301"/>
      <c r="R234" s="177"/>
      <c r="S234" s="403"/>
      <c r="T234" s="525" t="s">
        <v>60</v>
      </c>
      <c r="U234" s="525" t="s">
        <v>359</v>
      </c>
      <c r="W234" s="446" t="s">
        <v>1838</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175" t="s">
        <v>2616</v>
      </c>
      <c r="N235" s="2175" t="s">
        <v>1342</v>
      </c>
      <c r="O235" s="2174" t="s">
        <v>4430</v>
      </c>
      <c r="P235" s="586" t="s">
        <v>353</v>
      </c>
      <c r="Q235" s="301"/>
      <c r="R235" s="177"/>
      <c r="S235" s="403"/>
      <c r="T235" s="525" t="s">
        <v>62</v>
      </c>
      <c r="U235" s="525" t="s">
        <v>122</v>
      </c>
      <c r="W235" s="446" t="s">
        <v>1840</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175" t="s">
        <v>2616</v>
      </c>
      <c r="N236" s="2175" t="s">
        <v>1342</v>
      </c>
      <c r="O236" s="2174"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175" t="s">
        <v>2616</v>
      </c>
      <c r="N237" s="2175" t="s">
        <v>1332</v>
      </c>
      <c r="O237" s="2174"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173" t="s">
        <v>2616</v>
      </c>
      <c r="N238" s="2173" t="s">
        <v>1332</v>
      </c>
      <c r="O238" s="2174"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173" t="s">
        <v>2616</v>
      </c>
      <c r="N239" s="2173" t="s">
        <v>1217</v>
      </c>
      <c r="O239" s="2174"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173" t="s">
        <v>2616</v>
      </c>
      <c r="N240" s="2173" t="s">
        <v>1709</v>
      </c>
      <c r="O240" s="2174"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175" t="s">
        <v>2616</v>
      </c>
      <c r="N241" s="2175" t="s">
        <v>1332</v>
      </c>
      <c r="O241" s="2174"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173" t="s">
        <v>2616</v>
      </c>
      <c r="N242" s="2173" t="s">
        <v>1795</v>
      </c>
      <c r="O242" s="2174"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175" t="s">
        <v>1207</v>
      </c>
      <c r="N243" s="2175" t="s">
        <v>1338</v>
      </c>
      <c r="O243" s="2174"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175" t="s">
        <v>2616</v>
      </c>
      <c r="N244" s="2175" t="s">
        <v>1342</v>
      </c>
      <c r="O244" s="2174"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173" t="s">
        <v>2616</v>
      </c>
      <c r="N245" s="2173" t="s">
        <v>1338</v>
      </c>
      <c r="O245" s="2174"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175" t="s">
        <v>1207</v>
      </c>
      <c r="N246" s="2175" t="s">
        <v>1709</v>
      </c>
      <c r="O246" s="2174"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175" t="s">
        <v>2616</v>
      </c>
      <c r="N247" s="2175" t="s">
        <v>1217</v>
      </c>
      <c r="O247" s="2174"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175" t="s">
        <v>2616</v>
      </c>
      <c r="N248" s="2175" t="s">
        <v>1332</v>
      </c>
      <c r="O248" s="2174"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173" t="s">
        <v>2616</v>
      </c>
      <c r="N249" s="2173" t="s">
        <v>167</v>
      </c>
      <c r="O249" s="2174"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173" t="s">
        <v>2616</v>
      </c>
      <c r="N250" s="2173" t="s">
        <v>162</v>
      </c>
      <c r="O250" s="2174"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173" t="s">
        <v>2616</v>
      </c>
      <c r="N251" s="2173" t="s">
        <v>1342</v>
      </c>
      <c r="O251" s="2174"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173" t="s">
        <v>2616</v>
      </c>
      <c r="N252" s="2173" t="s">
        <v>1338</v>
      </c>
      <c r="O252" s="2174"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173" t="s">
        <v>2616</v>
      </c>
      <c r="N253" s="2173" t="s">
        <v>1217</v>
      </c>
      <c r="O253" s="2174"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175" t="s">
        <v>2616</v>
      </c>
      <c r="N254" s="2175" t="s">
        <v>1795</v>
      </c>
      <c r="O254" s="2174"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175" t="s">
        <v>2616</v>
      </c>
      <c r="N255" s="2175" t="s">
        <v>1795</v>
      </c>
      <c r="O255" s="2174"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173" t="s">
        <v>2616</v>
      </c>
      <c r="N256" s="2173" t="s">
        <v>1217</v>
      </c>
      <c r="O256" s="2174"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175" t="s">
        <v>2616</v>
      </c>
      <c r="N257" s="2175" t="s">
        <v>1338</v>
      </c>
      <c r="O257" s="2174"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175" t="s">
        <v>2616</v>
      </c>
      <c r="N258" s="2175" t="s">
        <v>1217</v>
      </c>
      <c r="O258" s="2174"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173" t="s">
        <v>2616</v>
      </c>
      <c r="N259" s="2173" t="s">
        <v>1217</v>
      </c>
      <c r="O259" s="2174"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175" t="s">
        <v>1207</v>
      </c>
      <c r="N260" s="2175" t="s">
        <v>162</v>
      </c>
      <c r="O260" s="2174"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173" t="s">
        <v>1207</v>
      </c>
      <c r="N261" s="2173" t="s">
        <v>1217</v>
      </c>
      <c r="O261" s="2174"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173" t="s">
        <v>2616</v>
      </c>
      <c r="N262" s="2173" t="s">
        <v>167</v>
      </c>
      <c r="O262" s="2174"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173" t="s">
        <v>2616</v>
      </c>
      <c r="N263" s="2173" t="s">
        <v>167</v>
      </c>
      <c r="O263" s="2174"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173" t="s">
        <v>1207</v>
      </c>
      <c r="N264" s="2173" t="s">
        <v>1217</v>
      </c>
      <c r="O264" s="2174"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175" t="s">
        <v>2616</v>
      </c>
      <c r="N265" s="2175" t="s">
        <v>1332</v>
      </c>
      <c r="O265" s="2174"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173" t="s">
        <v>1207</v>
      </c>
      <c r="N266" s="2173" t="s">
        <v>1217</v>
      </c>
      <c r="O266" s="2174"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175" t="s">
        <v>2616</v>
      </c>
      <c r="N267" s="2175" t="s">
        <v>1709</v>
      </c>
      <c r="O267" s="2174"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173" t="s">
        <v>1207</v>
      </c>
      <c r="N268" s="2173" t="s">
        <v>1217</v>
      </c>
      <c r="O268" s="2174"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175" t="s">
        <v>2616</v>
      </c>
      <c r="N269" s="2175" t="s">
        <v>1217</v>
      </c>
      <c r="O269" s="2174"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175" t="s">
        <v>2616</v>
      </c>
      <c r="N270" s="2175" t="s">
        <v>1332</v>
      </c>
      <c r="O270" s="2174"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175" t="s">
        <v>2616</v>
      </c>
      <c r="N271" s="2175" t="s">
        <v>1217</v>
      </c>
      <c r="O271" s="2174"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175" t="s">
        <v>2616</v>
      </c>
      <c r="N272" s="2175" t="s">
        <v>162</v>
      </c>
      <c r="O272" s="2174"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175" t="s">
        <v>2616</v>
      </c>
      <c r="N273" s="2175" t="s">
        <v>167</v>
      </c>
      <c r="O273" s="2174"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175" t="s">
        <v>2616</v>
      </c>
      <c r="N274" s="2175" t="s">
        <v>1795</v>
      </c>
      <c r="O274" s="2174"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175" t="s">
        <v>1207</v>
      </c>
      <c r="N275" s="2175" t="s">
        <v>1342</v>
      </c>
      <c r="O275" s="2174"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173" t="s">
        <v>1207</v>
      </c>
      <c r="N276" s="2173" t="s">
        <v>1217</v>
      </c>
      <c r="O276" s="2174"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175" t="s">
        <v>2616</v>
      </c>
      <c r="N277" s="2175" t="s">
        <v>162</v>
      </c>
      <c r="O277" s="2174"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175" t="s">
        <v>2616</v>
      </c>
      <c r="N278" s="2175" t="s">
        <v>1338</v>
      </c>
      <c r="O278" s="2174"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175" t="s">
        <v>2616</v>
      </c>
      <c r="N280" s="2175" t="s">
        <v>1795</v>
      </c>
      <c r="O280" s="2174"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173" t="s">
        <v>1207</v>
      </c>
      <c r="N281" s="2175" t="s">
        <v>1217</v>
      </c>
      <c r="O281" s="2174"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175" t="s">
        <v>2616</v>
      </c>
      <c r="N282" s="2173" t="s">
        <v>167</v>
      </c>
      <c r="O282" s="2174"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175" t="s">
        <v>2616</v>
      </c>
      <c r="N283" s="2175" t="s">
        <v>162</v>
      </c>
      <c r="O283" s="2174"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175" t="s">
        <v>2616</v>
      </c>
      <c r="N284" s="2175" t="s">
        <v>1795</v>
      </c>
      <c r="O284" s="2174"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175" t="s">
        <v>2616</v>
      </c>
      <c r="N285" s="2175" t="s">
        <v>162</v>
      </c>
      <c r="O285" s="2174"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175" t="s">
        <v>2616</v>
      </c>
      <c r="N286" s="2175" t="s">
        <v>167</v>
      </c>
      <c r="O286" s="2174"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175" t="s">
        <v>2616</v>
      </c>
      <c r="N287" s="2175" t="s">
        <v>1338</v>
      </c>
      <c r="O287" s="2174"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175" t="s">
        <v>2616</v>
      </c>
      <c r="N288" s="2175" t="s">
        <v>162</v>
      </c>
      <c r="O288" s="2174"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175" t="s">
        <v>2616</v>
      </c>
      <c r="N289" s="2175" t="s">
        <v>1795</v>
      </c>
      <c r="O289" s="2174"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173" t="s">
        <v>2616</v>
      </c>
      <c r="N290" s="2175" t="s">
        <v>1795</v>
      </c>
      <c r="O290" s="2174"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175" t="s">
        <v>2616</v>
      </c>
      <c r="N291" s="2173" t="s">
        <v>1709</v>
      </c>
      <c r="O291" s="2174"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175" t="s">
        <v>2616</v>
      </c>
      <c r="N292" s="2175" t="s">
        <v>1795</v>
      </c>
      <c r="O292" s="2174"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175" t="s">
        <v>2616</v>
      </c>
      <c r="N293" s="2175" t="s">
        <v>1338</v>
      </c>
      <c r="O293" s="2174"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175" t="s">
        <v>2616</v>
      </c>
      <c r="N294" s="2175" t="s">
        <v>167</v>
      </c>
      <c r="O294" s="2174"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175" t="s">
        <v>2616</v>
      </c>
      <c r="N295" s="2175" t="s">
        <v>1332</v>
      </c>
      <c r="O295" s="2174"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175" t="s">
        <v>2616</v>
      </c>
      <c r="N296" s="2175" t="s">
        <v>1217</v>
      </c>
      <c r="O296" s="2174"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175" t="s">
        <v>2616</v>
      </c>
      <c r="N297" s="2175" t="s">
        <v>1795</v>
      </c>
      <c r="O297" s="2174"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173" t="s">
        <v>2616</v>
      </c>
      <c r="N298" s="2175" t="s">
        <v>1332</v>
      </c>
      <c r="O298" s="2174"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175" t="s">
        <v>2616</v>
      </c>
      <c r="N299" s="2173" t="s">
        <v>167</v>
      </c>
      <c r="O299" s="2174"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175" t="s">
        <v>2616</v>
      </c>
      <c r="N300" s="2175" t="s">
        <v>1217</v>
      </c>
      <c r="O300" s="2174"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173" t="s">
        <v>2616</v>
      </c>
      <c r="N301" s="2175" t="s">
        <v>1533</v>
      </c>
      <c r="O301" s="2174"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173" t="s">
        <v>1207</v>
      </c>
      <c r="N302" s="2173" t="s">
        <v>1217</v>
      </c>
      <c r="O302" s="2174"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175" t="s">
        <v>2616</v>
      </c>
      <c r="N303" s="2173" t="s">
        <v>1709</v>
      </c>
      <c r="O303" s="2174"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175" t="s">
        <v>2616</v>
      </c>
      <c r="N304" s="2175" t="s">
        <v>1342</v>
      </c>
      <c r="O304" s="2174"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175" t="s">
        <v>2616</v>
      </c>
      <c r="N305" s="2175" t="s">
        <v>1332</v>
      </c>
      <c r="O305" s="2174"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175" t="s">
        <v>2616</v>
      </c>
      <c r="N306" s="2175" t="s">
        <v>1338</v>
      </c>
      <c r="O306" s="2174"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175" t="s">
        <v>2616</v>
      </c>
      <c r="N307" s="2175" t="s">
        <v>162</v>
      </c>
      <c r="O307" s="2174"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175" t="s">
        <v>2616</v>
      </c>
      <c r="N308" s="2175" t="s">
        <v>1332</v>
      </c>
      <c r="O308" s="2174"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175" t="s">
        <v>2616</v>
      </c>
      <c r="N309" s="2175" t="s">
        <v>167</v>
      </c>
      <c r="O309" s="2174"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175" t="s">
        <v>1207</v>
      </c>
      <c r="N310" s="2175" t="s">
        <v>1533</v>
      </c>
      <c r="O310" s="2174"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175" t="s">
        <v>2616</v>
      </c>
      <c r="N311" s="2175" t="s">
        <v>1795</v>
      </c>
      <c r="O311" s="2174"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175" t="s">
        <v>2616</v>
      </c>
      <c r="N312" s="2175" t="s">
        <v>1342</v>
      </c>
      <c r="O312" s="2174"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175" t="s">
        <v>2616</v>
      </c>
      <c r="N313" s="2175" t="s">
        <v>1332</v>
      </c>
      <c r="O313" s="2174" t="s">
        <v>4508</v>
      </c>
      <c r="P313" s="586" t="s">
        <v>1592</v>
      </c>
      <c r="Q313" s="301"/>
      <c r="R313" s="177"/>
      <c r="S313" s="403"/>
      <c r="T313" s="525" t="s">
        <v>197</v>
      </c>
      <c r="U313" s="525" t="s">
        <v>1678</v>
      </c>
      <c r="W313" s="446" t="s">
        <v>1853</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173" t="s">
        <v>2616</v>
      </c>
      <c r="N314" s="2175" t="s">
        <v>1795</v>
      </c>
      <c r="O314" s="2174"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1838</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1840</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1844</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1847</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1851</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WAARzBU1cPFRImW351X4m0PENVIaraOjgdQGLU3E26SgJmxgsISANpfpwG5ELw8mh1VAdSQMIgPZn7pTOELzfA==" saltValue="2QsS9qRsUYdPljzStO16mQ=="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5"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4.85546875"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Heritage Village at West Lake</v>
      </c>
    </row>
    <row r="3" spans="1:16" ht="16.5">
      <c r="A3" s="1620" t="str">
        <f>CONCATENATE('Part I-Project Information'!F38,", ", 'Part I-Project Information'!J39," County")</f>
        <v>Atlanta, Fulton County</v>
      </c>
    </row>
    <row r="5" spans="1:16" ht="12.75" customHeight="1">
      <c r="A5" s="1621" t="str">
        <f>'Project Narrative'!$A$5</f>
        <v xml:space="preserve">For almost two decades, Quest Community Development Organization has served the Vine City and English Avenue communities through its distinct mission “to develop and implement affordable housing and provide needs-based community services to enhance the quality of life for underserved individuals and families.” Quest aims to continue and further this mission with the Heritage Village at West Lake community. Quest, in partnership with Columbia Residential, proposes to develop a 3.06 acre site along West Lake Avenue in the West Lake Neighborhood of Atlanta. Community focused development on Atlanta’s Westside has been on a steady increase since the Atlanta Falcons’ 2013 announcement of the construction of their new stadium. Much of the development has been focused in the Vine City and English Avenue neighborhoods; but, the neighborhoods to the west have just as much need. This development seeks to capitalize on new development initiatives by MARTA (Transit Oriented Development at the West Lake Station) and the Grove Park Foundation with its partnership with Purpose Built Communities. Finally, DCA has already begun a commitment to community development in this area with its 2017 NHTF and HOME awards to Quest’s HFOP development at 339 Holly Street which is located approximately a half-mile from our proposed site. This project will be instrumental in spearheading extensive future economic development in Atlanta’s Westside. As a result, more housing and employment opportunities will become available for local residents.
Quest strives to promote integrated access to resources in its communities regardless of ability status. All services and resources will be offered to all residents. Quest’s selected partners, such as HEALing Communities and Habesha, will offer services on-site thus allowing for access for all residents. Finally, the development team has envisioned this site as a multi-phase and multi-use community. The future uses that we foresee will encourage residents from the larger West Lake neighborhood to partake in the events and resources that we will be offering. 
The Heritage Village at West Lake site occupies a significant place in Atlanta’s history. The Waluhaje was opened in 1951 by Walter Aikens as an apartment and hotel complex which served Atlanta’s developing post-war Westside. The Waluhaje gained notoriety for its ballroom which hosted many of the top Jazz performers of the era. The Aikens sold the property in 1967 and in 1969 Job Corps began providing residential educational and vocational training at the site until 2017 when the program shut down. The Quest and Columbia Residential development team seeks to respect and honor the history of the site. The main building of the site currently houses 150 SRO units over four floors. We propose consolidating many of the spaces to provide 123 units. Quest will continue to focus on providing stable and affordable housing, with services, to vulnerable populations. Quest will be partnering with CHRIS180 and set aside 24 units that will provide permanent supportive housing to single 18 – 24 year old men and women who are aging out of the foster care system. We will support their growth and stability by providing job and life skill training on site, as well as entrepreneurial incubator space. 
We are also seeking to bolster the City of Atlanta’s commitment to sustainability and resilience. The development team will partner with the City of Atlanta’s Office of Resilience, specifically its Urban Agriculture program, and set aside some of the undeveloped land for urban farm production. Many of Atlanta’s urban farmers maintain a tenuous relationship with the land that they farm because they are tenants on land that is owned by investors; and, they can be forced to leave if the real estate market in that community heats up. This partnership can provide stability for our urban farmers and access to healthy fruits and vegetables in an underserved community. Finally, some of the harvested produce will support culinary arts training and food preparation workshops that will be provided in the building’s renovated commercial kitchen.
Quest CDO is a CARF-accredited supportive service agency and all residents can access “light touch” case management services at no additional cost.  Residents can choose to be assigned a certified case manager who can provide them with: benefit application assistance, referrals for mental health services, anger management &amp; substance addiction counseling, financial literacy &amp; money management. If the client is employable, Quest CDO will facilitate workforce development training with the goal of the client finding stable employment. Overall, the results of our efforts of providing affordable housing in coordination with supportive services to low income populations will improve the lives of our residents and promote the overall well-being of the community.
Since 2001, Quest CDO has been committed to the revitalization of Vine City and English Avenue; and, ideally, the Heritage Village at West Lake development will act as a catalyst for continued positive transformation in the adjacent neighborhoods. Quest CDO currently owns, operates, and manages the neighboring 60-units of permanent supportive housing. These 60-units are spread across three different housing communities ranging from 12 to 28 units and provide permanent supportive housing to formerly chronically homeless single men, women, and veterans. Quest developed all three communities and serves as owner and DCA-approved property manager for each. Development funding for these communities was provided through the CHDO-HOME program, either from the City of Atlanta and the Georgia Department of Community Affairs allocation, as well as the Homeless Opportunity Fund from Invest Atlanta. Quest also has 93 units of affordable housing in predevelopment that will begin construction late summer 2018.
Located just 1.5 miles away from Heritage Village, Quest will begin construction on the Quest Nonprofit Center for Change (QNCC) in late summer 2018. The QNCC will provide 25,000 square feet of office and retail space to best-in-class non-profits. These agencies will provide local residents with opportunities for affordable banking, access to fresh foods markets, education programs, and more – all in a central location. The QNCC will also offer social enterprise opportunities that provide entrepreneurial and job training for local residents, as well as incubator office space for community-based services that reflect the needs of the residents. Residents can visit the QNCC to inquire about employment opportunities, health care, rental assistance, and a host of other services
Heritage Village at West Lake will require participation and resources from a number of different agencies. At a minimum, we hope to realize this development with participation from: The Georgia Department of Community Affairs and LIHTC partners. 
i. HOME/CHDO investment from Georgia DCA
ii. 9% LIHTC set-aside allocation from Georgia DCA
iii. Developer Investment via pre-development and DDF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303092496, 303033520,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4518</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2380</v>
      </c>
      <c r="C16" s="1625"/>
      <c r="D16" s="1625"/>
      <c r="E16" s="1625"/>
      <c r="F16" s="1623"/>
      <c r="G16" s="1627" t="s">
        <v>4716</v>
      </c>
      <c r="H16" s="1625"/>
      <c r="I16" s="1625"/>
      <c r="J16" s="1625"/>
      <c r="K16" s="1625"/>
      <c r="L16" s="1623"/>
      <c r="M16" s="1625"/>
      <c r="N16" s="1625"/>
      <c r="O16" s="1625"/>
      <c r="P16" s="1628" t="s">
        <v>3899</v>
      </c>
    </row>
    <row r="17" spans="1:16" ht="14.25" customHeight="1">
      <c r="A17" s="1625"/>
      <c r="B17" s="1629"/>
      <c r="C17" s="1629"/>
      <c r="D17" s="1629"/>
      <c r="E17" s="1629"/>
      <c r="F17" s="1623"/>
      <c r="G17" s="1627" t="s">
        <v>4717</v>
      </c>
      <c r="H17" s="1630"/>
      <c r="I17" s="1630"/>
      <c r="J17" s="1630"/>
      <c r="K17" s="1625"/>
      <c r="L17" s="1625"/>
      <c r="M17" s="1625"/>
      <c r="N17" s="1625"/>
      <c r="O17" s="1622" t="str">
        <f>'Part I-Project Information'!$O$6</f>
        <v>2018-017</v>
      </c>
      <c r="P17" s="1622"/>
    </row>
    <row r="18" spans="1:16">
      <c r="A18" s="1625"/>
      <c r="B18" s="1629"/>
      <c r="C18" s="1629"/>
      <c r="D18" s="1629"/>
      <c r="E18" s="1629"/>
      <c r="F18" s="1622"/>
      <c r="G18" s="1631" t="s">
        <v>3340</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2391</v>
      </c>
      <c r="C20" s="1625"/>
      <c r="D20" s="1632"/>
      <c r="E20" s="1630"/>
      <c r="F20" s="1633" t="s">
        <v>3826</v>
      </c>
      <c r="G20" s="1625"/>
      <c r="H20" s="1625"/>
      <c r="I20" s="1634">
        <f>'Part IV-A-Uses of Funds'!$J$175</f>
        <v>940000</v>
      </c>
      <c r="J20" s="1634"/>
      <c r="K20" s="1625"/>
      <c r="L20" s="1625" t="s">
        <v>3827</v>
      </c>
      <c r="M20" s="1625"/>
      <c r="N20" s="1625"/>
      <c r="O20" s="1635">
        <f>'Part III-Sources of Funds'!$E$11</f>
        <v>2000000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2056</v>
      </c>
      <c r="C22" s="1625"/>
      <c r="D22" s="1625"/>
      <c r="E22" s="1625"/>
      <c r="F22" s="1637" t="str">
        <f>'Part I-Project Information'!$F$11</f>
        <v>9% Credit &amp; HOME</v>
      </c>
      <c r="G22" s="1637"/>
      <c r="H22" s="1637"/>
      <c r="I22" s="1638" t="s">
        <v>3741</v>
      </c>
      <c r="J22" s="1622" t="s">
        <v>4718</v>
      </c>
      <c r="K22" s="1622"/>
      <c r="L22" s="1630"/>
      <c r="M22" s="1625"/>
      <c r="N22" s="1625"/>
      <c r="O22" s="1625" t="str">
        <f>'Part I-Project Information'!$O$11</f>
        <v>2018PA-037</v>
      </c>
      <c r="P22" s="1625"/>
    </row>
    <row r="23" spans="1:16" ht="13.5" customHeight="1">
      <c r="A23" s="1623"/>
      <c r="B23" s="1639" t="s">
        <v>4519</v>
      </c>
      <c r="C23" s="1639"/>
      <c r="D23" s="1639"/>
      <c r="E23" s="1625"/>
      <c r="F23" s="1625"/>
      <c r="G23" s="1625"/>
      <c r="H23" s="1630"/>
      <c r="I23" s="1625"/>
      <c r="J23" s="1633" t="s">
        <v>2751</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3824</v>
      </c>
      <c r="K25" s="1625"/>
      <c r="L25" s="1625"/>
      <c r="M25" s="1625"/>
      <c r="N25" s="1625"/>
      <c r="O25" s="1625"/>
      <c r="P25" s="1625"/>
    </row>
    <row r="26" spans="1:16">
      <c r="A26" s="1623"/>
      <c r="B26" s="1625" t="s">
        <v>3900</v>
      </c>
      <c r="C26" s="1625"/>
      <c r="D26" s="1622"/>
      <c r="E26" s="1625"/>
      <c r="F26" s="1641">
        <f>'Part I-Project Information'!$F$15</f>
        <v>0</v>
      </c>
      <c r="G26" s="1641"/>
      <c r="H26" s="1641"/>
      <c r="I26" s="1641"/>
      <c r="J26" s="1641"/>
      <c r="K26" s="1641"/>
      <c r="L26" s="1625" t="s">
        <v>3823</v>
      </c>
      <c r="M26" s="1625"/>
      <c r="N26" s="1625"/>
      <c r="O26" s="1625">
        <f>'Part I-Project Information'!$O$15</f>
        <v>0</v>
      </c>
      <c r="P26" s="1625"/>
    </row>
    <row r="27" spans="1:16">
      <c r="A27" s="1623"/>
      <c r="B27" s="1625" t="s">
        <v>3825</v>
      </c>
      <c r="C27" s="1625"/>
      <c r="D27" s="1625"/>
      <c r="E27" s="1625"/>
      <c r="F27" s="1640">
        <f>'Part I-Project Information'!F16</f>
        <v>0</v>
      </c>
      <c r="G27" s="1625" t="s">
        <v>3882</v>
      </c>
      <c r="H27" s="1630"/>
      <c r="I27" s="1631"/>
      <c r="J27" s="1633"/>
      <c r="K27" s="1625"/>
      <c r="L27" s="1625"/>
      <c r="M27" s="1642" t="str">
        <f>'Part I-Project Information'!M16</f>
        <v>&lt;&lt; Select Designation &gt;&gt;</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3911</v>
      </c>
      <c r="C31" s="1625"/>
      <c r="D31" s="1625"/>
      <c r="E31" s="1625"/>
      <c r="F31" s="1625" t="str">
        <f>'Part I-Project Information'!F20</f>
        <v>New Columbia Residential</v>
      </c>
      <c r="G31" s="1625">
        <f>'Part I-Project Information'!G20</f>
        <v>0</v>
      </c>
      <c r="H31" s="1625">
        <f>'Part I-Project Information'!H20</f>
        <v>0</v>
      </c>
      <c r="I31" s="1625" t="s">
        <v>1810</v>
      </c>
      <c r="J31" s="1625" t="str">
        <f>'Part I-Project Information'!J20</f>
        <v>Clara Trejos</v>
      </c>
      <c r="K31" s="1625">
        <f>'Part I-Project Information'!K20</f>
        <v>0</v>
      </c>
      <c r="L31" s="1625">
        <f>'Part I-Project Information'!L20</f>
        <v>0</v>
      </c>
      <c r="M31" s="1633" t="s">
        <v>1996</v>
      </c>
      <c r="N31" s="1625" t="str">
        <f>'Part I-Project Information'!N20</f>
        <v>Vice President Tax Credit Operations</v>
      </c>
      <c r="O31" s="1625">
        <f>'Part I-Project Information'!O20</f>
        <v>0</v>
      </c>
      <c r="P31" s="1625">
        <f>'Part I-Project Information'!P20</f>
        <v>0</v>
      </c>
    </row>
    <row r="32" spans="1:16" ht="12.75" customHeight="1">
      <c r="A32" s="1625"/>
      <c r="B32" s="1633" t="s">
        <v>1997</v>
      </c>
      <c r="C32" s="1625"/>
      <c r="D32" s="1625"/>
      <c r="E32" s="1625"/>
      <c r="F32" s="1625" t="str">
        <f>'Part I-Project Information'!F21</f>
        <v>1718 Peachtree St NW, Suite 684</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3910</v>
      </c>
      <c r="N32" s="1643"/>
      <c r="O32" s="1643"/>
      <c r="P32" s="1643"/>
    </row>
    <row r="33" spans="1:16" ht="12.75" customHeight="1">
      <c r="A33" s="1625"/>
      <c r="B33" s="1633" t="s">
        <v>624</v>
      </c>
      <c r="C33" s="1625"/>
      <c r="D33" s="1625"/>
      <c r="E33" s="1625"/>
      <c r="F33" s="1625" t="str">
        <f>'Part I-Project Information'!F22</f>
        <v>Atlanta</v>
      </c>
      <c r="G33" s="1625">
        <f>'Part I-Project Information'!G22</f>
        <v>0</v>
      </c>
      <c r="H33" s="1625">
        <f>'Part I-Project Information'!H22</f>
        <v>0</v>
      </c>
      <c r="I33" s="1633" t="s">
        <v>1812</v>
      </c>
      <c r="J33" s="1644" t="str">
        <f>'Part I-Project Information'!J22</f>
        <v>GA</v>
      </c>
      <c r="K33" s="1625"/>
      <c r="L33" s="1625"/>
      <c r="M33" s="1643"/>
      <c r="N33" s="1643"/>
      <c r="O33" s="1643"/>
      <c r="P33" s="1643"/>
    </row>
    <row r="34" spans="1:16">
      <c r="A34" s="1625"/>
      <c r="B34" s="1633" t="s">
        <v>2245</v>
      </c>
      <c r="C34" s="1625"/>
      <c r="D34" s="1625"/>
      <c r="E34" s="1625"/>
      <c r="F34" s="1645">
        <f>'Part I-Project Information'!F23</f>
        <v>303092496</v>
      </c>
      <c r="G34" s="1645">
        <f>'Part I-Project Information'!G23</f>
        <v>0</v>
      </c>
      <c r="H34" s="1645">
        <f>'Part I-Project Information'!H23</f>
        <v>0</v>
      </c>
      <c r="I34" s="1633" t="s">
        <v>1733</v>
      </c>
      <c r="J34" s="1646">
        <f>'Part I-Project Information'!J23</f>
        <v>9047463325</v>
      </c>
      <c r="K34" s="1646">
        <f>'Part I-Project Information'!K23</f>
        <v>0</v>
      </c>
      <c r="L34" s="1630" t="s">
        <v>1732</v>
      </c>
      <c r="M34" s="1630">
        <f>'Part I-Project Information'!M23</f>
        <v>0</v>
      </c>
      <c r="N34" s="1633" t="s">
        <v>1734</v>
      </c>
      <c r="O34" s="1646">
        <f>'Part I-Project Information'!O23</f>
        <v>0</v>
      </c>
      <c r="P34" s="1646">
        <f>'Part I-Project Information'!P23</f>
        <v>0</v>
      </c>
    </row>
    <row r="35" spans="1:16">
      <c r="A35" s="1625"/>
      <c r="B35" s="1633" t="s">
        <v>2000</v>
      </c>
      <c r="C35" s="1625"/>
      <c r="D35" s="1625"/>
      <c r="E35" s="1625"/>
      <c r="F35" s="1625" t="str">
        <f>'Part I-Project Information'!F24</f>
        <v>ctrejos@columbiares.com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1995</v>
      </c>
      <c r="O35" s="1646">
        <f>'Part I-Project Information'!O24</f>
        <v>4048676921</v>
      </c>
      <c r="P35" s="1646">
        <f>'Part I-Project Information'!P24</f>
        <v>0</v>
      </c>
    </row>
    <row r="36" spans="1:16">
      <c r="A36" s="1623"/>
      <c r="B36" s="1622" t="s">
        <v>4112</v>
      </c>
      <c r="C36" s="1632"/>
      <c r="D36" s="1625"/>
      <c r="E36" s="1625"/>
      <c r="F36" s="1625"/>
      <c r="G36" s="1625"/>
      <c r="H36" s="1630"/>
      <c r="I36" s="1625"/>
      <c r="J36" s="1632"/>
      <c r="K36" s="1625"/>
      <c r="L36" s="1625"/>
      <c r="M36" s="1625"/>
      <c r="N36" s="1625"/>
      <c r="O36" s="1625"/>
      <c r="P36" s="1647"/>
    </row>
    <row r="37" spans="1:16">
      <c r="A37" s="1625"/>
      <c r="B37" s="1625" t="s">
        <v>3911</v>
      </c>
      <c r="C37" s="1625"/>
      <c r="D37" s="1625"/>
      <c r="E37" s="1625"/>
      <c r="F37" s="1625" t="str">
        <f>'Part I-Project Information'!F26</f>
        <v>Quest Community Development Organization</v>
      </c>
      <c r="G37" s="1625">
        <f>'Part I-Project Information'!G26</f>
        <v>0</v>
      </c>
      <c r="H37" s="1625">
        <f>'Part I-Project Information'!H26</f>
        <v>0</v>
      </c>
      <c r="I37" s="1625" t="s">
        <v>1810</v>
      </c>
      <c r="J37" s="1625" t="str">
        <f>'Part I-Project Information'!J26</f>
        <v>Leonard Adams</v>
      </c>
      <c r="K37" s="1625">
        <f>'Part I-Project Information'!K26</f>
        <v>0</v>
      </c>
      <c r="L37" s="1625">
        <f>'Part I-Project Information'!L26</f>
        <v>0</v>
      </c>
      <c r="M37" s="1633" t="s">
        <v>1996</v>
      </c>
      <c r="N37" s="1625" t="str">
        <f>'Part I-Project Information'!N26</f>
        <v>CEO</v>
      </c>
      <c r="O37" s="1625">
        <f>'Part I-Project Information'!O26</f>
        <v>0</v>
      </c>
      <c r="P37" s="1625">
        <f>'Part I-Project Information'!P26</f>
        <v>0</v>
      </c>
    </row>
    <row r="38" spans="1:16" ht="12.75" customHeight="1">
      <c r="A38" s="1625"/>
      <c r="B38" s="1633" t="s">
        <v>1997</v>
      </c>
      <c r="C38" s="1625"/>
      <c r="D38" s="1625"/>
      <c r="E38" s="1625"/>
      <c r="F38" s="1625" t="str">
        <f>'Part I-Project Information'!F27</f>
        <v>878 Rock St NW</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3910</v>
      </c>
      <c r="N38" s="1643"/>
      <c r="O38" s="1643"/>
      <c r="P38" s="1643"/>
    </row>
    <row r="39" spans="1:16" ht="12.75" customHeight="1">
      <c r="A39" s="1625"/>
      <c r="B39" s="1633" t="s">
        <v>624</v>
      </c>
      <c r="C39" s="1625"/>
      <c r="D39" s="1625"/>
      <c r="E39" s="1625"/>
      <c r="F39" s="1625" t="str">
        <f>'Part I-Project Information'!F28</f>
        <v>Atlanta</v>
      </c>
      <c r="G39" s="1625">
        <f>'Part I-Project Information'!G28</f>
        <v>0</v>
      </c>
      <c r="H39" s="1625">
        <f>'Part I-Project Information'!H28</f>
        <v>0</v>
      </c>
      <c r="I39" s="1633" t="s">
        <v>1812</v>
      </c>
      <c r="J39" s="1644" t="str">
        <f>'Part I-Project Information'!J28</f>
        <v>GA</v>
      </c>
      <c r="K39" s="1625"/>
      <c r="L39" s="1625"/>
      <c r="M39" s="1643"/>
      <c r="N39" s="1643"/>
      <c r="O39" s="1643"/>
      <c r="P39" s="1643"/>
    </row>
    <row r="40" spans="1:16">
      <c r="A40" s="1625"/>
      <c r="B40" s="1633" t="s">
        <v>2245</v>
      </c>
      <c r="C40" s="1625"/>
      <c r="D40" s="1625"/>
      <c r="E40" s="1625"/>
      <c r="F40" s="1645">
        <f>'Part I-Project Information'!F29</f>
        <v>303143377</v>
      </c>
      <c r="G40" s="1645">
        <f>'Part I-Project Information'!G29</f>
        <v>0</v>
      </c>
      <c r="H40" s="1645">
        <f>'Part I-Project Information'!H29</f>
        <v>0</v>
      </c>
      <c r="I40" s="1633" t="s">
        <v>1733</v>
      </c>
      <c r="J40" s="1646">
        <f>'Part I-Project Information'!J29</f>
        <v>0</v>
      </c>
      <c r="K40" s="1646">
        <f>'Part I-Project Information'!K29</f>
        <v>0</v>
      </c>
      <c r="L40" s="1630" t="s">
        <v>1732</v>
      </c>
      <c r="M40" s="1630">
        <f>'Part I-Project Information'!M29</f>
        <v>0</v>
      </c>
      <c r="N40" s="1633" t="s">
        <v>1734</v>
      </c>
      <c r="O40" s="1646">
        <f>'Part I-Project Information'!O29</f>
        <v>6787055318</v>
      </c>
      <c r="P40" s="1646">
        <f>'Part I-Project Information'!P29</f>
        <v>0</v>
      </c>
    </row>
    <row r="41" spans="1:16">
      <c r="A41" s="1625"/>
      <c r="B41" s="1633" t="s">
        <v>2000</v>
      </c>
      <c r="C41" s="1625"/>
      <c r="D41" s="1625"/>
      <c r="E41" s="1625"/>
      <c r="F41" s="1625" t="str">
        <f>'Part I-Project Information'!F30</f>
        <v>ladams@questcommunities.org</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1995</v>
      </c>
      <c r="O41" s="1646">
        <f>'Part I-Project Information'!O30</f>
        <v>0</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Heritage Village at West Lake</v>
      </c>
      <c r="G45" s="1641">
        <f>'Part I-Project Information'!G34</f>
        <v>0</v>
      </c>
      <c r="H45" s="1641">
        <f>'Part I-Project Information'!H34</f>
        <v>0</v>
      </c>
      <c r="I45" s="1641">
        <f>'Part I-Project Information'!I34</f>
        <v>0</v>
      </c>
      <c r="J45" s="1641">
        <f>'Part I-Project Information'!J34</f>
        <v>0</v>
      </c>
      <c r="K45" s="1641">
        <f>'Part I-Project Information'!K34</f>
        <v>0</v>
      </c>
      <c r="L45" s="1633" t="s">
        <v>2208</v>
      </c>
      <c r="M45" s="1625"/>
      <c r="N45" s="1625"/>
      <c r="O45" s="1625" t="str">
        <f>'Part I-Project Information'!O34</f>
        <v>No</v>
      </c>
      <c r="P45" s="1625">
        <f>'Part I-Project Information'!P34</f>
        <v>0</v>
      </c>
    </row>
    <row r="46" spans="1:16">
      <c r="A46" s="1628"/>
      <c r="B46" s="1625" t="s">
        <v>2716</v>
      </c>
      <c r="C46" s="1625"/>
      <c r="D46" s="1636"/>
      <c r="E46" s="1625"/>
      <c r="F46" s="1625" t="str">
        <f>'Part I-Project Information'!F35</f>
        <v>239 West Lake Avenue, NW</v>
      </c>
      <c r="G46" s="1625">
        <f>'Part I-Project Information'!G35</f>
        <v>0</v>
      </c>
      <c r="H46" s="1625">
        <f>'Part I-Project Information'!H35</f>
        <v>0</v>
      </c>
      <c r="I46" s="1625">
        <f>'Part I-Project Information'!I35</f>
        <v>0</v>
      </c>
      <c r="J46" s="1625">
        <f>'Part I-Project Information'!J35</f>
        <v>0</v>
      </c>
      <c r="K46" s="1625">
        <f>'Part I-Project Information'!K35</f>
        <v>0</v>
      </c>
      <c r="L46" s="1625" t="s">
        <v>3708</v>
      </c>
      <c r="M46" s="1625"/>
      <c r="N46" s="1625"/>
      <c r="O46" s="1625">
        <f>'Part I-Project Information'!O35</f>
        <v>0</v>
      </c>
      <c r="P46" s="1625">
        <f>'Part I-Project Information'!P35</f>
        <v>0</v>
      </c>
    </row>
    <row r="47" spans="1:16">
      <c r="A47" s="1628"/>
      <c r="B47" s="1625" t="s">
        <v>4719</v>
      </c>
      <c r="C47" s="1625"/>
      <c r="D47" s="1636"/>
      <c r="E47" s="1625"/>
      <c r="F47" s="1625">
        <f>'Part I-Project Information'!F36</f>
        <v>0</v>
      </c>
      <c r="G47" s="1625">
        <f>'Part I-Project Information'!G36</f>
        <v>0</v>
      </c>
      <c r="H47" s="1625">
        <f>'Part I-Project Information'!H36</f>
        <v>0</v>
      </c>
      <c r="I47" s="1625">
        <f>'Part I-Project Information'!I36</f>
        <v>0</v>
      </c>
      <c r="J47" s="1625">
        <f>'Part I-Project Information'!J36</f>
        <v>0</v>
      </c>
      <c r="K47" s="1625">
        <f>'Part I-Project Information'!K36</f>
        <v>0</v>
      </c>
      <c r="L47" s="1633" t="s">
        <v>2066</v>
      </c>
      <c r="M47" s="1625"/>
      <c r="N47" s="1630" t="str">
        <f>'Part I-Project Information'!N36</f>
        <v>No</v>
      </c>
      <c r="O47" s="1630" t="s">
        <v>3707</v>
      </c>
      <c r="P47" s="1630">
        <f>'Part I-Project Information'!P36</f>
        <v>0</v>
      </c>
    </row>
    <row r="48" spans="1:16">
      <c r="A48" s="1628"/>
      <c r="B48" s="1625" t="s">
        <v>3763</v>
      </c>
      <c r="C48" s="1625"/>
      <c r="D48" s="1636"/>
      <c r="E48" s="1625"/>
      <c r="F48" s="1625" t="s">
        <v>3743</v>
      </c>
      <c r="G48" s="1648">
        <f>'Part I-Project Information'!G37</f>
        <v>33.760475</v>
      </c>
      <c r="H48" s="1648">
        <f>'Part I-Project Information'!H37</f>
        <v>0</v>
      </c>
      <c r="I48" s="1630" t="s">
        <v>3744</v>
      </c>
      <c r="J48" s="1648">
        <f>'Part I-Project Information'!J37</f>
        <v>-84.443042000000005</v>
      </c>
      <c r="K48" s="1648">
        <f>'Part I-Project Information'!K37</f>
        <v>0</v>
      </c>
      <c r="L48" s="1633" t="s">
        <v>2299</v>
      </c>
      <c r="M48" s="1625"/>
      <c r="N48" s="1625"/>
      <c r="O48" s="1649">
        <f>'Part I-Project Information'!O37</f>
        <v>3.06</v>
      </c>
      <c r="P48" s="1649">
        <f>'Part I-Project Information'!P37</f>
        <v>0</v>
      </c>
    </row>
    <row r="49" spans="1:16" ht="16.5">
      <c r="A49" s="1623"/>
      <c r="B49" s="1625" t="s">
        <v>624</v>
      </c>
      <c r="C49" s="1625"/>
      <c r="D49" s="1625"/>
      <c r="E49" s="1625"/>
      <c r="F49" s="1625" t="str">
        <f>'Part I-Project Information'!F38</f>
        <v>Atlanta</v>
      </c>
      <c r="G49" s="1625">
        <f>'Part I-Project Information'!G38</f>
        <v>0</v>
      </c>
      <c r="H49" s="1625">
        <f>'Part I-Project Information'!H38</f>
        <v>0</v>
      </c>
      <c r="I49" s="1650" t="s">
        <v>4720</v>
      </c>
      <c r="J49" s="1645">
        <f>'Part I-Project Information'!J38</f>
        <v>303186461</v>
      </c>
      <c r="K49" s="1645">
        <f>'Part I-Project Information'!K38</f>
        <v>0</v>
      </c>
      <c r="L49" s="1622" t="str">
        <f>IF(AND(NOT(F45=""),NOT(F49="Select from list"),J49=""),"Enter Zip!","")</f>
        <v/>
      </c>
      <c r="M49" s="1651" t="s">
        <v>2926</v>
      </c>
      <c r="N49" s="1625"/>
      <c r="O49" s="1652" t="str">
        <f>'Part I-Project Information'!O38</f>
        <v>84.00</v>
      </c>
      <c r="P49" s="1653">
        <f>'Part I-Project Information'!P38</f>
        <v>0</v>
      </c>
    </row>
    <row r="50" spans="1:16">
      <c r="A50" s="1623"/>
      <c r="B50" s="1625" t="s">
        <v>3592</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Fulton</v>
      </c>
      <c r="K50" s="1641">
        <f>'Part I-Project Information'!K39</f>
        <v>0</v>
      </c>
      <c r="L50" s="1625"/>
      <c r="M50" s="1633" t="s">
        <v>455</v>
      </c>
      <c r="N50" s="1655" t="str">
        <f>'Part I-Project Information'!N39</f>
        <v>Yes</v>
      </c>
      <c r="O50" s="1630" t="s">
        <v>456</v>
      </c>
      <c r="P50" s="1655" t="str">
        <f>'Part I-Project Information'!P39</f>
        <v>No</v>
      </c>
    </row>
    <row r="51" spans="1:16">
      <c r="A51" s="1623"/>
      <c r="B51" s="1622"/>
      <c r="C51" s="1625" t="s">
        <v>1570</v>
      </c>
      <c r="D51" s="1625"/>
      <c r="E51" s="1625"/>
      <c r="F51" s="1633" t="str">
        <f>'Part I-Project Information'!F40</f>
        <v>No</v>
      </c>
      <c r="G51" s="1625" t="s">
        <v>2799</v>
      </c>
      <c r="H51" s="1625"/>
      <c r="I51" s="1630" t="str">
        <f>'Part I-Project Information'!I40</f>
        <v>No</v>
      </c>
      <c r="J51" s="1630" t="s">
        <v>2819</v>
      </c>
      <c r="K51" s="1630" t="str">
        <f>'Part I-Project Information'!K40</f>
        <v>Urban</v>
      </c>
      <c r="L51" s="1625"/>
      <c r="M51" s="1633" t="s">
        <v>2628</v>
      </c>
      <c r="N51" s="1623" t="str">
        <f>'Part I-Project Information'!N40</f>
        <v>MSA</v>
      </c>
      <c r="O51" s="1625" t="str">
        <f>'Part I-Project Information'!O40</f>
        <v>Atlanta-Sandy Springs-Marietta</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4721</v>
      </c>
      <c r="D53" s="1625"/>
      <c r="E53" s="1625"/>
      <c r="F53" s="1656" t="s">
        <v>2780</v>
      </c>
      <c r="G53" s="1656"/>
      <c r="H53" s="1625" t="s">
        <v>744</v>
      </c>
      <c r="I53" s="1625"/>
      <c r="J53" s="1625" t="s">
        <v>745</v>
      </c>
      <c r="K53" s="1625"/>
      <c r="L53" s="1657" t="s">
        <v>4541</v>
      </c>
      <c r="M53" s="1625"/>
      <c r="N53" s="1625"/>
      <c r="O53" s="1625"/>
      <c r="P53" s="1625"/>
    </row>
    <row r="54" spans="1:16">
      <c r="A54" s="1623"/>
      <c r="B54" s="1625" t="s">
        <v>4722</v>
      </c>
      <c r="C54" s="1625"/>
      <c r="D54" s="1622"/>
      <c r="E54" s="1625"/>
      <c r="F54" s="1658">
        <f>'Part I-Project Information'!F43</f>
        <v>5</v>
      </c>
      <c r="G54" s="1658">
        <f>'Part I-Project Information'!G43</f>
        <v>0</v>
      </c>
      <c r="H54" s="1658">
        <f>'Part I-Project Information'!H43</f>
        <v>39</v>
      </c>
      <c r="I54" s="1658">
        <f>'Part I-Project Information'!I43</f>
        <v>0</v>
      </c>
      <c r="J54" s="1658">
        <f>'Part I-Project Information'!J43</f>
        <v>56</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2778</v>
      </c>
      <c r="M55" s="1625"/>
      <c r="N55" s="1660" t="s">
        <v>2777</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Atlanta</v>
      </c>
      <c r="G57" s="1661">
        <f>'Part I-Project Information'!G46</f>
        <v>0</v>
      </c>
      <c r="H57" s="1661">
        <f>'Part I-Project Information'!H46</f>
        <v>0</v>
      </c>
      <c r="I57" s="1661">
        <f>'Part I-Project Information'!I46</f>
        <v>0</v>
      </c>
      <c r="J57" s="1661">
        <f>'Part I-Project Information'!J46</f>
        <v>0</v>
      </c>
      <c r="K57" s="1661">
        <f>'Part I-Project Information'!K46</f>
        <v>0</v>
      </c>
      <c r="L57" s="1662" t="s">
        <v>2722</v>
      </c>
      <c r="M57" s="1625" t="str">
        <f>'Part I-Project Information'!M46</f>
        <v>www.atlantaga.gov</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Keisha Lance Bottoms</v>
      </c>
      <c r="G58" s="1661">
        <f>'Part I-Project Information'!G47</f>
        <v>0</v>
      </c>
      <c r="H58" s="1661">
        <f>'Part I-Project Information'!H47</f>
        <v>0</v>
      </c>
      <c r="I58" s="1630" t="s">
        <v>1996</v>
      </c>
      <c r="J58" s="1625" t="str">
        <f>'Part I-Project Information'!J47</f>
        <v>Mayor</v>
      </c>
      <c r="K58" s="1625">
        <f>'Part I-Project Information'!K47</f>
        <v>0</v>
      </c>
      <c r="L58" s="1662"/>
      <c r="M58" s="1625"/>
      <c r="N58" s="1625"/>
      <c r="O58" s="1625"/>
      <c r="P58" s="1625"/>
    </row>
    <row r="59" spans="1:16">
      <c r="A59" s="1623"/>
      <c r="B59" s="1625" t="s">
        <v>1997</v>
      </c>
      <c r="C59" s="1625"/>
      <c r="D59" s="1625"/>
      <c r="E59" s="1625"/>
      <c r="F59" s="1661" t="str">
        <f>'Part I-Project Information'!F48</f>
        <v>55 Trinity Avenue, SW</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Atlanta</v>
      </c>
      <c r="N59" s="1661">
        <f>'Part I-Project Information'!N48</f>
        <v>0</v>
      </c>
      <c r="O59" s="1661">
        <f>'Part I-Project Information'!O48</f>
        <v>0</v>
      </c>
      <c r="P59" s="1661">
        <f>'Part I-Project Information'!P48</f>
        <v>0</v>
      </c>
    </row>
    <row r="60" spans="1:16">
      <c r="A60" s="1623"/>
      <c r="B60" s="1633" t="s">
        <v>2245</v>
      </c>
      <c r="C60" s="1625"/>
      <c r="D60" s="1625"/>
      <c r="E60" s="1625"/>
      <c r="F60" s="1645">
        <f>'Part I-Project Information'!F49</f>
        <v>303033520</v>
      </c>
      <c r="G60" s="1645">
        <f>'Part I-Project Information'!G49</f>
        <v>0</v>
      </c>
      <c r="H60" s="1630" t="s">
        <v>1998</v>
      </c>
      <c r="I60" s="1646">
        <f>'Part I-Project Information'!I49</f>
        <v>4043306100</v>
      </c>
      <c r="J60" s="1646">
        <f>'Part I-Project Information'!J49</f>
        <v>0</v>
      </c>
      <c r="K60" s="1646">
        <f>'Part I-Project Information'!K49</f>
        <v>0</v>
      </c>
      <c r="L60" s="1633" t="s">
        <v>1813</v>
      </c>
      <c r="M60" s="1661" t="str">
        <f>'Part I-Project Information'!M49</f>
        <v>mayorbottoms@atlantaga.gov</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1999</v>
      </c>
      <c r="C65" s="1622" t="s">
        <v>4723</v>
      </c>
      <c r="D65" s="1625"/>
      <c r="E65" s="1625"/>
      <c r="F65" s="1625"/>
      <c r="G65" s="1625"/>
      <c r="H65" s="1625"/>
      <c r="I65" s="1625"/>
      <c r="J65" s="1625"/>
      <c r="K65" s="1631"/>
      <c r="L65" s="1625"/>
      <c r="M65" s="1659"/>
      <c r="N65" s="1659"/>
      <c r="O65" s="1659"/>
      <c r="P65" s="1659"/>
    </row>
    <row r="66" spans="1:16" ht="13.5">
      <c r="A66" s="1632"/>
      <c r="B66" s="1623"/>
      <c r="C66" s="1625" t="s">
        <v>2311</v>
      </c>
      <c r="D66" s="1625"/>
      <c r="E66" s="1625"/>
      <c r="F66" s="1632"/>
      <c r="G66" s="1632"/>
      <c r="H66" s="1665">
        <f>'Part VI-Revenues &amp; Expenses'!$O$74</f>
        <v>0</v>
      </c>
      <c r="I66" s="1632"/>
      <c r="J66" s="1632"/>
      <c r="K66" s="1633" t="s">
        <v>3699</v>
      </c>
      <c r="L66" s="1625"/>
      <c r="M66" s="1666" t="s">
        <v>3698</v>
      </c>
      <c r="N66" s="1665">
        <f>'Part VI-Revenues &amp; Expenses'!$O$81</f>
        <v>0</v>
      </c>
      <c r="O66" s="1667" t="s">
        <v>3379</v>
      </c>
      <c r="P66" s="1665">
        <f>'Part VI-Revenues &amp; Expenses'!$O$82</f>
        <v>0</v>
      </c>
    </row>
    <row r="67" spans="1:16">
      <c r="A67" s="1623"/>
      <c r="B67" s="1623"/>
      <c r="C67" s="1668" t="s">
        <v>349</v>
      </c>
      <c r="D67" s="1625"/>
      <c r="E67" s="1625"/>
      <c r="F67" s="1625"/>
      <c r="G67" s="1625"/>
      <c r="H67" s="1665">
        <f>'Part VI-Revenues &amp; Expenses'!$O$80</f>
        <v>123</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2931</v>
      </c>
      <c r="J68" s="1625"/>
      <c r="K68" s="1625" t="s">
        <v>350</v>
      </c>
      <c r="L68" s="1625"/>
      <c r="M68" s="1625"/>
      <c r="N68" s="1625"/>
      <c r="O68" s="1625"/>
      <c r="P68" s="1670">
        <f>'Part I-Project Information'!P57</f>
        <v>18992</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2001</v>
      </c>
      <c r="C70" s="1622" t="s">
        <v>2312</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2292</v>
      </c>
      <c r="D72" s="1625"/>
      <c r="E72" s="1625"/>
      <c r="F72" s="1625"/>
      <c r="G72" s="1625"/>
      <c r="H72" s="1625"/>
      <c r="I72" s="1672" t="s">
        <v>3588</v>
      </c>
      <c r="J72" s="1628" t="s">
        <v>2131</v>
      </c>
      <c r="K72" s="1673" t="s">
        <v>2318</v>
      </c>
      <c r="L72" s="1625"/>
      <c r="M72" s="1625"/>
      <c r="N72" s="1625"/>
      <c r="O72" s="1625"/>
      <c r="P72" s="1630"/>
    </row>
    <row r="73" spans="1:16">
      <c r="A73" s="1623"/>
      <c r="B73" s="1644"/>
      <c r="C73" s="1632" t="s">
        <v>2293</v>
      </c>
      <c r="D73" s="1625"/>
      <c r="E73" s="1625"/>
      <c r="F73" s="1625"/>
      <c r="G73" s="1625"/>
      <c r="H73" s="1674">
        <f>SUM(H74:H75)</f>
        <v>123</v>
      </c>
      <c r="I73" s="1674">
        <f>SUM(I74:I75)</f>
        <v>0</v>
      </c>
      <c r="J73" s="1623"/>
      <c r="K73" s="1632" t="s">
        <v>2791</v>
      </c>
      <c r="L73" s="1625"/>
      <c r="M73" s="1625"/>
      <c r="N73" s="1625"/>
      <c r="O73" s="1625"/>
      <c r="P73" s="1674">
        <f>'Part VI-Revenues &amp; Expenses'!$O$115</f>
        <v>73080</v>
      </c>
    </row>
    <row r="74" spans="1:16">
      <c r="A74" s="1623"/>
      <c r="B74" s="1632"/>
      <c r="C74" s="1625"/>
      <c r="D74" s="1656" t="s">
        <v>387</v>
      </c>
      <c r="E74" s="1625"/>
      <c r="F74" s="1625"/>
      <c r="G74" s="1625"/>
      <c r="H74" s="1674">
        <f>'Part VI-Revenues &amp; Expenses'!$O$57</f>
        <v>25</v>
      </c>
      <c r="I74" s="1674">
        <f>'Part VI-Revenues &amp; Expenses'!$O$65</f>
        <v>0</v>
      </c>
      <c r="J74" s="1625"/>
      <c r="K74" s="1632" t="s">
        <v>2792</v>
      </c>
      <c r="L74" s="1625"/>
      <c r="M74" s="1625"/>
      <c r="N74" s="1625"/>
      <c r="O74" s="1625"/>
      <c r="P74" s="1674">
        <f>'Part VI-Revenues &amp; Expenses'!$O$116</f>
        <v>0</v>
      </c>
    </row>
    <row r="75" spans="1:16">
      <c r="A75" s="1623"/>
      <c r="B75" s="1625"/>
      <c r="C75" s="1625"/>
      <c r="D75" s="1656" t="s">
        <v>1834</v>
      </c>
      <c r="E75" s="1656"/>
      <c r="F75" s="1625"/>
      <c r="G75" s="1625"/>
      <c r="H75" s="1674">
        <f>'Part VI-Revenues &amp; Expenses'!$O$56</f>
        <v>98</v>
      </c>
      <c r="I75" s="1674">
        <f>'Part VI-Revenues &amp; Expenses'!$O$64</f>
        <v>0</v>
      </c>
      <c r="J75" s="1625"/>
      <c r="K75" s="1632" t="s">
        <v>2793</v>
      </c>
      <c r="L75" s="1625"/>
      <c r="M75" s="1625"/>
      <c r="N75" s="1625"/>
      <c r="O75" s="1625"/>
      <c r="P75" s="1674">
        <f>P73+P74</f>
        <v>73080</v>
      </c>
    </row>
    <row r="76" spans="1:16">
      <c r="A76" s="1623"/>
      <c r="B76" s="1625"/>
      <c r="C76" s="1632" t="s">
        <v>255</v>
      </c>
      <c r="D76" s="1625"/>
      <c r="E76" s="1625"/>
      <c r="F76" s="1625"/>
      <c r="G76" s="1625"/>
      <c r="H76" s="1674">
        <f>'Part VI-Revenues &amp; Expenses'!$O$59</f>
        <v>0</v>
      </c>
      <c r="I76" s="1625"/>
      <c r="J76" s="1623"/>
      <c r="K76" s="1632" t="s">
        <v>2794</v>
      </c>
      <c r="L76" s="1625"/>
      <c r="M76" s="1625"/>
      <c r="N76" s="1625"/>
      <c r="O76" s="1625"/>
      <c r="P76" s="1674">
        <f>'Part VI-Revenues &amp; Expenses'!$O$118</f>
        <v>0</v>
      </c>
    </row>
    <row r="77" spans="1:16">
      <c r="A77" s="1623"/>
      <c r="B77" s="1625"/>
      <c r="C77" s="1632" t="s">
        <v>2423</v>
      </c>
      <c r="D77" s="1625"/>
      <c r="E77" s="1625"/>
      <c r="F77" s="1625"/>
      <c r="G77" s="1625"/>
      <c r="H77" s="1674">
        <f>H73+H76</f>
        <v>123</v>
      </c>
      <c r="I77" s="1625"/>
      <c r="J77" s="1623"/>
      <c r="K77" s="1632" t="s">
        <v>1432</v>
      </c>
      <c r="L77" s="1625"/>
      <c r="M77" s="1625"/>
      <c r="N77" s="1625"/>
      <c r="O77" s="1625"/>
      <c r="P77" s="1674">
        <f>+P75+P76</f>
        <v>73080</v>
      </c>
    </row>
    <row r="78" spans="1:16">
      <c r="A78" s="1623"/>
      <c r="B78" s="1625"/>
      <c r="C78" s="1632" t="s">
        <v>2424</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123</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2313</v>
      </c>
      <c r="D81" s="1656" t="s">
        <v>2012</v>
      </c>
      <c r="E81" s="1625"/>
      <c r="F81" s="1625"/>
      <c r="G81" s="1625"/>
      <c r="H81" s="1674">
        <f>'Part I-Project Information'!H70</f>
        <v>1</v>
      </c>
      <c r="I81" s="1625"/>
      <c r="J81" s="1625"/>
      <c r="K81" s="1632" t="s">
        <v>4102</v>
      </c>
      <c r="L81" s="1625"/>
      <c r="M81" s="1625"/>
      <c r="N81" s="1625"/>
      <c r="O81" s="1625"/>
      <c r="P81" s="1674">
        <f>'Part I-Project Information'!P70</f>
        <v>9510</v>
      </c>
    </row>
    <row r="82" spans="1:16">
      <c r="A82" s="1623"/>
      <c r="B82" s="1623"/>
      <c r="C82" s="1625"/>
      <c r="D82" s="1644" t="s">
        <v>2013</v>
      </c>
      <c r="E82" s="1625"/>
      <c r="F82" s="1625"/>
      <c r="G82" s="1625"/>
      <c r="H82" s="1674">
        <f>'Part I-Project Information'!H71</f>
        <v>0</v>
      </c>
      <c r="I82" s="1625"/>
      <c r="J82" s="1625"/>
      <c r="K82" s="1632" t="s">
        <v>254</v>
      </c>
      <c r="L82" s="1625"/>
      <c r="M82" s="1625"/>
      <c r="N82" s="1625"/>
      <c r="O82" s="1625"/>
      <c r="P82" s="1674">
        <f>+P77+P81</f>
        <v>82590</v>
      </c>
    </row>
    <row r="83" spans="1:16">
      <c r="A83" s="1623"/>
      <c r="B83" s="1623"/>
      <c r="C83" s="1625"/>
      <c r="D83" s="1644" t="s">
        <v>2014</v>
      </c>
      <c r="E83" s="1625"/>
      <c r="F83" s="1625"/>
      <c r="G83" s="1625"/>
      <c r="H83" s="1674">
        <f>+H81+H82</f>
        <v>1</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2861</v>
      </c>
      <c r="D85" s="1625"/>
      <c r="E85" s="1625"/>
      <c r="F85" s="1625"/>
      <c r="G85" s="1625"/>
      <c r="H85" s="1674">
        <f>'Part I-Project Information'!H74</f>
        <v>123</v>
      </c>
      <c r="I85" s="1625"/>
      <c r="J85" s="1625"/>
      <c r="K85" s="1621" t="s">
        <v>3883</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1999</v>
      </c>
      <c r="C89" s="1626" t="s">
        <v>4724</v>
      </c>
      <c r="D89" s="1676"/>
      <c r="E89" s="1676"/>
      <c r="F89" s="1625"/>
      <c r="G89" s="1630"/>
      <c r="H89" s="1656" t="str">
        <f>'Part I-Project Information'!H78</f>
        <v>Other Non-Senior</v>
      </c>
      <c r="I89" s="1656">
        <f>'Part I-Project Information'!I78</f>
        <v>0</v>
      </c>
      <c r="J89" s="1625"/>
      <c r="K89" s="1625" t="s">
        <v>1785</v>
      </c>
      <c r="L89" s="1625"/>
      <c r="M89" s="1625" t="str">
        <f>'Part I-Project Information'!M78</f>
        <v>Supportive Housing</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3905</v>
      </c>
      <c r="I91" s="1621"/>
      <c r="J91" s="1625"/>
      <c r="K91" s="1677" t="s">
        <v>2932</v>
      </c>
      <c r="L91" s="1674">
        <f>'Part I-Project Information'!L80</f>
        <v>0</v>
      </c>
      <c r="M91" s="1677" t="s">
        <v>2933</v>
      </c>
      <c r="N91" s="1674">
        <f>'Part I-Project Information'!N80</f>
        <v>0</v>
      </c>
      <c r="O91" s="1625"/>
      <c r="P91" s="1636" t="s">
        <v>3907</v>
      </c>
    </row>
    <row r="92" spans="1:16">
      <c r="A92" s="1623"/>
      <c r="B92" s="1623"/>
      <c r="C92" s="1625"/>
      <c r="D92" s="1633"/>
      <c r="E92" s="1676"/>
      <c r="F92" s="1625"/>
      <c r="G92" s="1625"/>
      <c r="H92" s="1621"/>
      <c r="I92" s="1621"/>
      <c r="J92" s="1625"/>
      <c r="K92" s="1636" t="s">
        <v>2934</v>
      </c>
      <c r="L92" s="1674">
        <f>'Part I-Project Information'!L81</f>
        <v>0</v>
      </c>
      <c r="M92" s="1636" t="s">
        <v>3906</v>
      </c>
      <c r="N92" s="1674">
        <f>'Part I-Project Information'!N81</f>
        <v>0</v>
      </c>
      <c r="O92" s="1625"/>
      <c r="P92" s="1674">
        <f>'Part I-Project Information'!P81</f>
        <v>123</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2001</v>
      </c>
      <c r="C94" s="1622" t="s">
        <v>1423</v>
      </c>
      <c r="D94" s="1625"/>
      <c r="E94" s="1656"/>
      <c r="F94" s="1644" t="s">
        <v>804</v>
      </c>
      <c r="G94" s="1625"/>
      <c r="H94" s="1674">
        <f>'Part VIII-Threshold Criteria'!K301</f>
        <v>7</v>
      </c>
      <c r="I94" s="1625"/>
      <c r="J94" s="1625"/>
      <c r="K94" s="1625" t="s">
        <v>525</v>
      </c>
      <c r="L94" s="1625"/>
      <c r="M94" s="1625"/>
      <c r="N94" s="1678">
        <f>IF('Part VI-Revenues &amp; Expenses'!$O$62=0,0,H94/'Part VI-Revenues &amp; Expenses'!$O$62)</f>
        <v>5.6910569105691054E-2</v>
      </c>
      <c r="O94" s="1636" t="s">
        <v>3722</v>
      </c>
      <c r="P94" s="1679">
        <f>'DCA Underwriting Assumptions'!$Q$136</f>
        <v>0.05</v>
      </c>
    </row>
    <row r="95" spans="1:16">
      <c r="A95" s="1623"/>
      <c r="B95" s="1623"/>
      <c r="C95" s="1625"/>
      <c r="D95" s="1644" t="s">
        <v>2859</v>
      </c>
      <c r="E95" s="1644"/>
      <c r="F95" s="1644" t="s">
        <v>804</v>
      </c>
      <c r="G95" s="1625"/>
      <c r="H95" s="1674">
        <f>'Part VIII-Threshold Criteria'!K302</f>
        <v>0</v>
      </c>
      <c r="I95" s="1625"/>
      <c r="J95" s="1625"/>
      <c r="K95" s="1625" t="s">
        <v>2860</v>
      </c>
      <c r="L95" s="1625"/>
      <c r="M95" s="1625"/>
      <c r="N95" s="1678">
        <f>IF(H94=0,0,H95/H94)</f>
        <v>0</v>
      </c>
      <c r="O95" s="1636" t="s">
        <v>3722</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1858</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3722</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2393</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1999</v>
      </c>
      <c r="C101" s="1626" t="s">
        <v>2392</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2001</v>
      </c>
      <c r="C103" s="1622" t="s">
        <v>1546</v>
      </c>
      <c r="D103" s="1625"/>
      <c r="E103" s="1625"/>
      <c r="F103" s="1625"/>
      <c r="G103" s="1625"/>
      <c r="H103" s="1625"/>
      <c r="I103" s="1625"/>
      <c r="J103" s="1625"/>
      <c r="K103" s="1633" t="s">
        <v>877</v>
      </c>
      <c r="L103" s="1625"/>
      <c r="M103" s="1625"/>
      <c r="N103" s="1680"/>
      <c r="O103" s="1625"/>
      <c r="P103" s="1630" t="str">
        <f>'Part I-Project Information'!P92</f>
        <v>Yes</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2057</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1999</v>
      </c>
      <c r="C107" s="1622" t="s">
        <v>2726</v>
      </c>
      <c r="D107" s="1625"/>
      <c r="E107" s="1625"/>
      <c r="F107" s="1656" t="s">
        <v>2617</v>
      </c>
      <c r="G107" s="1625"/>
      <c r="H107" s="1630">
        <f>'Part I-Project Information'!H96</f>
        <v>0</v>
      </c>
      <c r="I107" s="1625"/>
      <c r="J107" s="1625"/>
      <c r="K107" s="1656" t="s">
        <v>3929</v>
      </c>
      <c r="L107" s="1630">
        <f>'Part I-Project Information'!L96</f>
        <v>0</v>
      </c>
      <c r="M107" s="1625"/>
      <c r="N107" s="1625"/>
      <c r="O107" s="1636" t="s">
        <v>3923</v>
      </c>
      <c r="P107" s="1630">
        <f>'Part I-Project Information'!P96</f>
        <v>0</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2001</v>
      </c>
      <c r="C109" s="1622" t="s">
        <v>2727</v>
      </c>
      <c r="D109" s="1625"/>
      <c r="E109" s="1625"/>
      <c r="F109" s="1633" t="s">
        <v>2696</v>
      </c>
      <c r="G109" s="1625"/>
      <c r="H109" s="1630" t="str">
        <f>'Part I-Project Information'!H98</f>
        <v>Yes</v>
      </c>
      <c r="I109" s="1681" t="s">
        <v>2728</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2801</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2245</v>
      </c>
      <c r="K117" s="1645"/>
      <c r="L117" s="1656"/>
      <c r="M117" s="1632" t="s">
        <v>3689</v>
      </c>
      <c r="N117" s="1632"/>
      <c r="O117" s="1683">
        <f>'Part I-Project Information'!O106</f>
        <v>0</v>
      </c>
      <c r="P117" s="1683">
        <f>'Part I-Project Information'!P106</f>
        <v>0</v>
      </c>
    </row>
    <row r="118" spans="1:16">
      <c r="A118" s="1625"/>
      <c r="B118" s="1625"/>
      <c r="C118" s="1625" t="s">
        <v>2210</v>
      </c>
      <c r="D118" s="1625"/>
      <c r="E118" s="1625">
        <f>'Part I-Project Information'!E107</f>
        <v>0</v>
      </c>
      <c r="F118" s="1656">
        <f>'Part I-Project Information'!F107</f>
        <v>0</v>
      </c>
      <c r="G118" s="1656">
        <f>'Part I-Project Information'!G107</f>
        <v>0</v>
      </c>
      <c r="H118" s="1630" t="s">
        <v>1996</v>
      </c>
      <c r="I118" s="1625">
        <f>'Part I-Project Information'!I107</f>
        <v>0</v>
      </c>
      <c r="J118" s="1656">
        <f>'Part I-Project Information'!J107</f>
        <v>0</v>
      </c>
      <c r="K118" s="1656">
        <f>'Part I-Project Information'!K107</f>
        <v>0</v>
      </c>
      <c r="L118" s="1630" t="s">
        <v>2000</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2209</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2722</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2169</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1999</v>
      </c>
      <c r="C125" s="1676" t="s">
        <v>1424</v>
      </c>
      <c r="D125" s="1644"/>
      <c r="E125" s="1644"/>
      <c r="F125" s="1630"/>
      <c r="G125" s="1630"/>
      <c r="H125" s="1650">
        <f>'Part I-Project Information'!H114</f>
        <v>2</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2001</v>
      </c>
      <c r="C127" s="1676" t="s">
        <v>418</v>
      </c>
      <c r="D127" s="1644"/>
      <c r="E127" s="1644"/>
      <c r="F127" s="1630"/>
      <c r="G127" s="1630"/>
      <c r="H127" s="1685">
        <f>'Part I-Project Information'!H116</f>
        <v>1900000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2151</v>
      </c>
      <c r="D130" s="1644"/>
      <c r="E130" s="1625"/>
      <c r="F130" s="1644" t="s">
        <v>1144</v>
      </c>
      <c r="G130" s="1630"/>
      <c r="H130" s="1630"/>
      <c r="I130" s="1630" t="s">
        <v>1306</v>
      </c>
      <c r="J130" s="1644" t="s">
        <v>2151</v>
      </c>
      <c r="K130" s="1644"/>
      <c r="L130" s="1625"/>
      <c r="M130" s="1644" t="s">
        <v>1144</v>
      </c>
      <c r="N130" s="1630"/>
      <c r="O130" s="1630"/>
      <c r="P130" s="1630" t="s">
        <v>1306</v>
      </c>
    </row>
    <row r="131" spans="1:16" ht="13.5">
      <c r="A131" s="1623"/>
      <c r="B131" s="1623"/>
      <c r="C131" s="1637" t="str">
        <f>'Part I-Project Information'!C120</f>
        <v>Quest Community Development Organization</v>
      </c>
      <c r="D131" s="1637">
        <f>'Part I-Project Information'!D120</f>
        <v>0</v>
      </c>
      <c r="E131" s="1637">
        <f>'Part I-Project Information'!E120</f>
        <v>0</v>
      </c>
      <c r="F131" s="1637" t="str">
        <f>'Part I-Project Information'!F120</f>
        <v>Heritage Village at West Lake</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t="str">
        <f>'Part I-Project Information'!C121</f>
        <v>New Affordable Housing Partners</v>
      </c>
      <c r="D132" s="1637">
        <f>'Part I-Project Information'!D121</f>
        <v>0</v>
      </c>
      <c r="E132" s="1637">
        <f>'Part I-Project Information'!E121</f>
        <v>0</v>
      </c>
      <c r="F132" s="1637" t="str">
        <f>'Part I-Project Information'!F121</f>
        <v>Grove Park Gardens</v>
      </c>
      <c r="G132" s="1637">
        <f>'Part I-Project Information'!G121</f>
        <v>0</v>
      </c>
      <c r="H132" s="1637">
        <f>'Part I-Project Information'!H121</f>
        <v>0</v>
      </c>
      <c r="I132" s="1637" t="str">
        <f>'Part I-Project Information'!I121</f>
        <v>Direct</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t="str">
        <f>'Part I-Project Information'!C122</f>
        <v>New Columbia Residential</v>
      </c>
      <c r="D133" s="1637">
        <f>'Part I-Project Information'!D122</f>
        <v>0</v>
      </c>
      <c r="E133" s="1637">
        <f>'Part I-Project Information'!E122</f>
        <v>0</v>
      </c>
      <c r="F133" s="1637" t="str">
        <f>'Part I-Project Information'!F122</f>
        <v>Grove Park Gardens</v>
      </c>
      <c r="G133" s="1637">
        <f>'Part I-Project Information'!G122</f>
        <v>0</v>
      </c>
      <c r="H133" s="1637">
        <f>'Part I-Project Information'!H122</f>
        <v>0</v>
      </c>
      <c r="I133" s="1637" t="str">
        <f>'Part I-Project Information'!I122</f>
        <v>Direct</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2131</v>
      </c>
      <c r="C138" s="1686" t="s">
        <v>1861</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2151</v>
      </c>
      <c r="D140" s="1644"/>
      <c r="E140" s="1625"/>
      <c r="F140" s="1644" t="s">
        <v>1144</v>
      </c>
      <c r="G140" s="1630"/>
      <c r="H140" s="1630"/>
      <c r="I140" s="1630"/>
      <c r="J140" s="1644" t="s">
        <v>2151</v>
      </c>
      <c r="K140" s="1644"/>
      <c r="L140" s="1625"/>
      <c r="M140" s="1644" t="s">
        <v>1144</v>
      </c>
      <c r="N140" s="1630"/>
      <c r="O140" s="1630"/>
      <c r="P140" s="1630"/>
    </row>
    <row r="141" spans="1:16" ht="13.5">
      <c r="A141" s="1623"/>
      <c r="B141" s="1623"/>
      <c r="C141" s="1637" t="str">
        <f>'Part I-Project Information'!C130</f>
        <v>New Affordable Housing Partners, LLC</v>
      </c>
      <c r="D141" s="1637">
        <f>'Part I-Project Information'!D130</f>
        <v>0</v>
      </c>
      <c r="E141" s="1637">
        <f>'Part I-Project Information'!E130</f>
        <v>0</v>
      </c>
      <c r="F141" s="1637" t="str">
        <f>'Part I-Project Information'!F130</f>
        <v>Heritage Village at West Lakes</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0</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0</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0</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2434</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1999</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2436</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2437</v>
      </c>
      <c r="D154" s="1644"/>
      <c r="E154" s="1644"/>
      <c r="F154" s="1630"/>
      <c r="G154" s="1625"/>
      <c r="H154" s="1625"/>
      <c r="I154" s="1630">
        <f>'Part I-Project Information'!I143</f>
        <v>0</v>
      </c>
      <c r="J154" s="1625"/>
      <c r="K154" s="1632" t="s">
        <v>2261</v>
      </c>
      <c r="L154" s="1625"/>
      <c r="M154" s="1625"/>
      <c r="N154" s="1625"/>
      <c r="O154" s="1625" t="str">
        <f>'Part I-Project Information'!O143</f>
        <v>GA-</v>
      </c>
      <c r="P154" s="1625">
        <f>'Part I-Project Information'!P143</f>
        <v>0</v>
      </c>
    </row>
    <row r="155" spans="1:16">
      <c r="A155" s="1623"/>
      <c r="B155" s="1623"/>
      <c r="C155" s="1644" t="s">
        <v>2435</v>
      </c>
      <c r="D155" s="1625"/>
      <c r="E155" s="1625"/>
      <c r="F155" s="1630"/>
      <c r="G155" s="1625"/>
      <c r="H155" s="1625"/>
      <c r="I155" s="1630">
        <f>'Part I-Project Information'!I144</f>
        <v>0</v>
      </c>
      <c r="J155" s="1625"/>
      <c r="K155" s="1632" t="s">
        <v>2262</v>
      </c>
      <c r="L155" s="1625"/>
      <c r="M155" s="1625"/>
      <c r="N155" s="1625"/>
      <c r="O155" s="1625" t="str">
        <f>'Part I-Project Information'!O144</f>
        <v>GA-</v>
      </c>
      <c r="P155" s="1625">
        <f>'Part I-Project Information'!P144</f>
        <v>0</v>
      </c>
    </row>
    <row r="156" spans="1:16">
      <c r="A156" s="1623"/>
      <c r="B156" s="1623"/>
      <c r="C156" s="1644" t="s">
        <v>2182</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2001</v>
      </c>
      <c r="C158" s="1676" t="s">
        <v>2506</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2719</v>
      </c>
      <c r="D160" s="1644"/>
      <c r="E160" s="1644"/>
      <c r="F160" s="1630"/>
      <c r="G160" s="1630"/>
      <c r="H160" s="1625"/>
      <c r="I160" s="1625"/>
      <c r="J160" s="1625"/>
      <c r="K160" s="1625"/>
      <c r="L160" s="1625"/>
      <c r="M160" s="1625"/>
      <c r="N160" s="1625"/>
      <c r="O160" s="1625"/>
      <c r="P160" s="1647"/>
    </row>
    <row r="161" spans="1:16">
      <c r="A161" s="1623"/>
      <c r="B161" s="1623"/>
      <c r="C161" s="1644" t="s">
        <v>4725</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1999</v>
      </c>
      <c r="C165" s="1663" t="s">
        <v>1835</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4726</v>
      </c>
      <c r="D168" s="1625"/>
      <c r="E168" s="1625"/>
      <c r="F168" s="1625"/>
      <c r="G168" s="1625"/>
      <c r="H168" s="1674">
        <f>'Part I-Project Information'!H157</f>
        <v>0</v>
      </c>
      <c r="I168" s="1631"/>
      <c r="J168" s="1689" t="s">
        <v>3752</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1811</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f>'Part I-Project Information'!E160</f>
        <v>0</v>
      </c>
      <c r="F171" s="1625">
        <f>'Part I-Project Information'!F160</f>
        <v>0</v>
      </c>
      <c r="G171" s="1625">
        <f>'Part I-Project Information'!G160</f>
        <v>0</v>
      </c>
      <c r="H171" s="1625">
        <f>'Part I-Project Information'!H160</f>
        <v>0</v>
      </c>
      <c r="I171" s="1630" t="s">
        <v>2245</v>
      </c>
      <c r="J171" s="1645">
        <f>'Part I-Project Information'!J160</f>
        <v>0</v>
      </c>
      <c r="K171" s="1645">
        <f>'Part I-Project Information'!K160</f>
        <v>0</v>
      </c>
      <c r="L171" s="1633" t="s">
        <v>1995</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0</v>
      </c>
      <c r="F172" s="1646">
        <f>'Part I-Project Information'!F161</f>
        <v>0</v>
      </c>
      <c r="G172" s="1646">
        <f>'Part I-Project Information'!G161</f>
        <v>0</v>
      </c>
      <c r="H172" s="1630"/>
      <c r="I172" s="1630" t="s">
        <v>1813</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2001</v>
      </c>
      <c r="C174" s="1676" t="s">
        <v>2720</v>
      </c>
      <c r="D174" s="1676"/>
      <c r="E174" s="1676"/>
      <c r="F174" s="1676"/>
      <c r="G174" s="1676"/>
      <c r="H174" s="1625"/>
      <c r="I174" s="1650" t="str">
        <f>'Part I-Project Information'!I163</f>
        <v>No</v>
      </c>
      <c r="J174" s="1656" t="s">
        <v>769</v>
      </c>
      <c r="K174" s="1656"/>
      <c r="L174" s="1650">
        <f>'Part I-Project Information'!L163</f>
        <v>0</v>
      </c>
      <c r="M174" s="1625" t="s">
        <v>2342</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2721</v>
      </c>
      <c r="D176" s="1676"/>
      <c r="E176" s="1676"/>
      <c r="F176" s="1676"/>
      <c r="G176" s="1676"/>
      <c r="H176" s="1625"/>
      <c r="I176" s="1650" t="str">
        <f>'Part I-Project Information'!I165</f>
        <v>Yes</v>
      </c>
      <c r="J176" s="1656" t="s">
        <v>769</v>
      </c>
      <c r="K176" s="1656"/>
      <c r="L176" s="1650">
        <f>'Part I-Project Information'!L165</f>
        <v>2045</v>
      </c>
      <c r="M176" s="1625" t="s">
        <v>2342</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2131</v>
      </c>
      <c r="C180" s="1675" t="s">
        <v>1994</v>
      </c>
      <c r="D180" s="1675"/>
      <c r="E180" s="1675"/>
      <c r="F180" s="1675"/>
      <c r="G180" s="1676"/>
      <c r="H180" s="1625"/>
      <c r="I180" s="1650" t="str">
        <f>'Part I-Project Information'!I169</f>
        <v>No</v>
      </c>
      <c r="J180" s="1692" t="s">
        <v>2771</v>
      </c>
      <c r="K180" s="1625"/>
      <c r="L180" s="1656" t="s">
        <v>4727</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2228</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2229</v>
      </c>
      <c r="D185" s="1625"/>
      <c r="E185" s="1625"/>
      <c r="F185" s="1625"/>
      <c r="G185" s="1625"/>
      <c r="H185" s="1625"/>
      <c r="I185" s="1650" t="str">
        <f>'Part I-Project Information'!I174</f>
        <v>No</v>
      </c>
      <c r="J185" s="1625"/>
      <c r="K185" s="1625"/>
      <c r="L185" s="1625" t="s">
        <v>2864</v>
      </c>
      <c r="M185" s="1625"/>
      <c r="N185" s="1625"/>
      <c r="O185" s="1625"/>
      <c r="P185" s="1650" t="str">
        <f>'Part I-Project Information'!P174</f>
        <v>No</v>
      </c>
    </row>
    <row r="186" spans="1:16" ht="13.5">
      <c r="A186" s="1623"/>
      <c r="B186" s="1625"/>
      <c r="C186" s="1625" t="s">
        <v>2740</v>
      </c>
      <c r="D186" s="1625"/>
      <c r="E186" s="1625"/>
      <c r="F186" s="1625"/>
      <c r="G186" s="1625"/>
      <c r="H186" s="1625"/>
      <c r="I186" s="1650" t="str">
        <f>'Part I-Project Information'!I175</f>
        <v>No</v>
      </c>
      <c r="J186" s="1625"/>
      <c r="K186" s="1625"/>
      <c r="L186" s="1625" t="s">
        <v>2707</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Yes</v>
      </c>
      <c r="J187" s="1625"/>
      <c r="K187" s="1622"/>
      <c r="L187" s="1625" t="s">
        <v>3506</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2772</v>
      </c>
      <c r="K188" s="1625"/>
      <c r="L188" s="1625"/>
      <c r="M188" s="1625"/>
      <c r="N188" s="1625"/>
      <c r="O188" s="1696">
        <f>'Part I-Project Information'!O177</f>
        <v>0</v>
      </c>
      <c r="P188" s="1696">
        <f>'Part I-Project Information'!P177</f>
        <v>0</v>
      </c>
    </row>
    <row r="189" spans="1:16">
      <c r="A189" s="1623"/>
      <c r="B189" s="1623"/>
      <c r="C189" s="1625" t="s">
        <v>2922</v>
      </c>
      <c r="D189" s="1625"/>
      <c r="E189" s="1625"/>
      <c r="F189" s="1625"/>
      <c r="G189" s="1625"/>
      <c r="H189" s="1625"/>
      <c r="I189" s="1650" t="str">
        <f>'Part I-Project Information'!I178</f>
        <v>No</v>
      </c>
      <c r="J189" s="1692" t="s">
        <v>2772</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44196</v>
      </c>
      <c r="I193" s="1682">
        <f>'Part I-Project Information'!I182</f>
        <v>0</v>
      </c>
      <c r="J193" s="1625"/>
      <c r="K193" s="1625"/>
      <c r="L193" s="1625"/>
      <c r="M193" s="1625"/>
      <c r="N193" s="1625"/>
      <c r="O193" s="1625"/>
      <c r="P193" s="1647"/>
    </row>
    <row r="194" spans="1:19">
      <c r="A194" s="1623"/>
      <c r="B194" s="1623"/>
      <c r="C194" s="1633" t="s">
        <v>2311</v>
      </c>
      <c r="D194" s="1644"/>
      <c r="E194" s="1644"/>
      <c r="F194" s="1630"/>
      <c r="G194" s="1630"/>
      <c r="H194" s="1682">
        <f>'Part I-Project Information'!H183</f>
        <v>0</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2800</v>
      </c>
      <c r="B196" s="1675"/>
      <c r="C196" s="1673" t="s">
        <v>577</v>
      </c>
      <c r="D196" s="1632"/>
      <c r="E196" s="1632"/>
      <c r="F196" s="1632"/>
      <c r="G196" s="1632"/>
      <c r="H196" s="1632"/>
      <c r="I196" s="1632"/>
      <c r="J196" s="1632"/>
      <c r="K196" s="1632"/>
      <c r="L196" s="1632"/>
      <c r="M196" s="1673" t="s">
        <v>2267</v>
      </c>
      <c r="N196" s="1673" t="s">
        <v>80</v>
      </c>
      <c r="O196" s="1632"/>
      <c r="P196" s="1632"/>
    </row>
    <row r="197" spans="1:19" ht="12.75" customHeight="1">
      <c r="A197" s="1697">
        <f>'Part I-Project Information'!A186</f>
        <v>0</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2018-017 Heritage Village at West Lake,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4517</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1872</v>
      </c>
      <c r="C206" s="1626"/>
      <c r="D206" s="1625"/>
      <c r="E206" s="1626"/>
      <c r="F206" s="1626"/>
      <c r="G206" s="1626"/>
      <c r="H206" s="1627" t="s">
        <v>4314</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1999</v>
      </c>
      <c r="C208" s="1626" t="s">
        <v>1868</v>
      </c>
      <c r="D208" s="1625"/>
      <c r="E208" s="1625"/>
      <c r="F208" s="1625"/>
      <c r="G208" s="1625"/>
      <c r="H208" s="1625" t="str">
        <f>'Part II-Development Team'!H5</f>
        <v>Heritage Village West Lake,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2005</v>
      </c>
      <c r="P208" s="1633"/>
      <c r="Q208" s="1625" t="str">
        <f>'Part II-Development Team'!Q5</f>
        <v>Leonard Adams</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878 Rock St NW</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CEO</v>
      </c>
      <c r="R209" s="1625">
        <f>'Part II-Development Team'!R6</f>
        <v>0</v>
      </c>
      <c r="S209" s="1625">
        <f>'Part II-Development Team'!S6</f>
        <v>0</v>
      </c>
    </row>
    <row r="210" spans="1:19">
      <c r="A210" s="1625"/>
      <c r="B210" s="1625"/>
      <c r="C210" s="1625"/>
      <c r="D210" s="1698"/>
      <c r="E210" s="1633" t="s">
        <v>624</v>
      </c>
      <c r="F210" s="1625"/>
      <c r="G210" s="1625"/>
      <c r="H210" s="1625" t="str">
        <f>'Part II-Development Team'!H7</f>
        <v>Atlanta</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6787055318</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GA</v>
      </c>
      <c r="I211" s="1630" t="s">
        <v>2245</v>
      </c>
      <c r="J211" s="1645">
        <f>'Part II-Development Team'!J8</f>
        <v>303143377</v>
      </c>
      <c r="K211" s="1645">
        <f>'Part II-Development Team'!K8</f>
        <v>0</v>
      </c>
      <c r="L211" s="1625" t="s">
        <v>3714</v>
      </c>
      <c r="M211" s="1625" t="str">
        <f>'Part II-Development Team'!M8</f>
        <v>CHDO</v>
      </c>
      <c r="N211" s="1625">
        <f>'Part II-Development Team'!N8</f>
        <v>0</v>
      </c>
      <c r="O211" s="1633" t="s">
        <v>1995</v>
      </c>
      <c r="P211" s="1625"/>
      <c r="Q211" s="1646">
        <f>'Part II-Development Team'!Q8</f>
        <v>0</v>
      </c>
      <c r="R211" s="1646">
        <f>'Part II-Development Team'!R8</f>
        <v>0</v>
      </c>
      <c r="S211" s="1646">
        <f>'Part II-Development Team'!S8</f>
        <v>0</v>
      </c>
    </row>
    <row r="212" spans="1:19">
      <c r="A212" s="1625"/>
      <c r="B212" s="1625"/>
      <c r="C212" s="1625"/>
      <c r="D212" s="1698"/>
      <c r="E212" s="1633" t="s">
        <v>4315</v>
      </c>
      <c r="F212" s="1625"/>
      <c r="G212" s="1625"/>
      <c r="H212" s="1646">
        <f>'Part II-Development Team'!H9</f>
        <v>0</v>
      </c>
      <c r="I212" s="1646">
        <f>'Part II-Development Team'!I9</f>
        <v>0</v>
      </c>
      <c r="J212" s="1650">
        <f>'Part II-Development Team'!J9</f>
        <v>0</v>
      </c>
      <c r="K212" s="1630" t="s">
        <v>2000</v>
      </c>
      <c r="L212" s="1641" t="str">
        <f>'Part II-Development Team'!L9</f>
        <v>ladams@questcommunities.org</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4314</v>
      </c>
      <c r="F213" s="1625"/>
      <c r="G213" s="1625"/>
      <c r="H213" s="1690"/>
      <c r="I213" s="1625"/>
      <c r="J213" s="1625"/>
      <c r="K213" s="1637"/>
      <c r="L213" s="1625"/>
      <c r="M213" s="1625"/>
      <c r="N213" s="1622" t="s">
        <v>4542</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2001</v>
      </c>
      <c r="C215" s="1626" t="s">
        <v>1869</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2002</v>
      </c>
      <c r="D216" s="1675" t="s">
        <v>2003</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2132</v>
      </c>
      <c r="E217" s="1625" t="s">
        <v>1870</v>
      </c>
      <c r="F217" s="1625"/>
      <c r="G217" s="1625"/>
      <c r="H217" s="1625" t="str">
        <f>'Part II-Development Team'!H14</f>
        <v>Heritage Village West Lake Partners,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2005</v>
      </c>
      <c r="P217" s="1633"/>
      <c r="Q217" s="1625" t="str">
        <f>'Part II-Development Team'!Q14</f>
        <v>Leonard Adams</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878 Rock St NW</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CEO</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Atlanta</v>
      </c>
      <c r="I219" s="1625">
        <f>'Part II-Development Team'!I16</f>
        <v>0</v>
      </c>
      <c r="J219" s="1625">
        <f>'Part II-Development Team'!J16</f>
        <v>0</v>
      </c>
      <c r="K219" s="1630" t="s">
        <v>2722</v>
      </c>
      <c r="L219" s="1625" t="str">
        <f>'Part II-Development Team'!L16</f>
        <v>www.questcommunities.org</v>
      </c>
      <c r="M219" s="1625">
        <f>'Part II-Development Team'!M16</f>
        <v>0</v>
      </c>
      <c r="N219" s="1625">
        <f>'Part II-Development Team'!N16</f>
        <v>0</v>
      </c>
      <c r="O219" s="1633" t="s">
        <v>1734</v>
      </c>
      <c r="P219" s="1625"/>
      <c r="Q219" s="1646">
        <f>'Part II-Development Team'!Q16</f>
        <v>6787055318</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GA</v>
      </c>
      <c r="I220" s="1625"/>
      <c r="J220" s="1625"/>
      <c r="K220" s="1630" t="s">
        <v>2245</v>
      </c>
      <c r="L220" s="1645">
        <f>'Part II-Development Team'!L17</f>
        <v>303143377</v>
      </c>
      <c r="M220" s="1645">
        <f>'Part II-Development Team'!M17</f>
        <v>0</v>
      </c>
      <c r="N220" s="1625"/>
      <c r="O220" s="1633" t="s">
        <v>1995</v>
      </c>
      <c r="P220" s="1625"/>
      <c r="Q220" s="1646">
        <f>'Part II-Development Team'!Q17</f>
        <v>0</v>
      </c>
      <c r="R220" s="1646">
        <f>'Part II-Development Team'!R17</f>
        <v>0</v>
      </c>
      <c r="S220" s="1646">
        <f>'Part II-Development Team'!S17</f>
        <v>0</v>
      </c>
    </row>
    <row r="221" spans="1:19">
      <c r="A221" s="1625"/>
      <c r="B221" s="1625"/>
      <c r="C221" s="1625"/>
      <c r="D221" s="1698"/>
      <c r="E221" s="1633" t="s">
        <v>4315</v>
      </c>
      <c r="F221" s="1625"/>
      <c r="G221" s="1625"/>
      <c r="H221" s="1646">
        <f>'Part II-Development Team'!H18</f>
        <v>0</v>
      </c>
      <c r="I221" s="1646">
        <f>'Part II-Development Team'!I18</f>
        <v>0</v>
      </c>
      <c r="J221" s="1650">
        <f>'Part II-Development Team'!J18</f>
        <v>0</v>
      </c>
      <c r="K221" s="1630" t="s">
        <v>2000</v>
      </c>
      <c r="L221" s="1641" t="str">
        <f>'Part II-Development Team'!L18</f>
        <v>ladams@questcommunities.org</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2133</v>
      </c>
      <c r="E223" s="1625" t="s">
        <v>1871</v>
      </c>
      <c r="F223" s="1625"/>
      <c r="G223" s="1625"/>
      <c r="H223" s="1625">
        <f>'Part II-Development Team'!H20</f>
        <v>0</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2005</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2722</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2245</v>
      </c>
      <c r="L226" s="1645">
        <f>'Part II-Development Team'!L23</f>
        <v>0</v>
      </c>
      <c r="M226" s="1645">
        <f>'Part II-Development Team'!M23</f>
        <v>0</v>
      </c>
      <c r="N226" s="1625"/>
      <c r="O226" s="1633" t="s">
        <v>1995</v>
      </c>
      <c r="P226" s="1625"/>
      <c r="Q226" s="1646">
        <f>'Part II-Development Team'!Q23</f>
        <v>0</v>
      </c>
      <c r="R226" s="1646">
        <f>'Part II-Development Team'!R23</f>
        <v>0</v>
      </c>
      <c r="S226" s="1646">
        <f>'Part II-Development Team'!S23</f>
        <v>0</v>
      </c>
    </row>
    <row r="227" spans="1:19">
      <c r="A227" s="1625"/>
      <c r="B227" s="1625"/>
      <c r="C227" s="1625"/>
      <c r="D227" s="1698"/>
      <c r="E227" s="1633" t="s">
        <v>4315</v>
      </c>
      <c r="F227" s="1625"/>
      <c r="G227" s="1625"/>
      <c r="H227" s="1646">
        <f>'Part II-Development Team'!H24</f>
        <v>0</v>
      </c>
      <c r="I227" s="1646">
        <f>'Part II-Development Team'!I24</f>
        <v>0</v>
      </c>
      <c r="J227" s="1650">
        <f>'Part II-Development Team'!J24</f>
        <v>0</v>
      </c>
      <c r="K227" s="1630" t="s">
        <v>2000</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1871</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2005</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2722</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2245</v>
      </c>
      <c r="L232" s="1645">
        <f>'Part II-Development Team'!L29</f>
        <v>0</v>
      </c>
      <c r="M232" s="1645">
        <f>'Part II-Development Team'!M29</f>
        <v>0</v>
      </c>
      <c r="N232" s="1625"/>
      <c r="O232" s="1633" t="s">
        <v>1995</v>
      </c>
      <c r="P232" s="1625"/>
      <c r="Q232" s="1646">
        <f>'Part II-Development Team'!Q29</f>
        <v>0</v>
      </c>
      <c r="R232" s="1646">
        <f>'Part II-Development Team'!R29</f>
        <v>0</v>
      </c>
      <c r="S232" s="1646">
        <f>'Part II-Development Team'!S29</f>
        <v>0</v>
      </c>
    </row>
    <row r="233" spans="1:19">
      <c r="A233" s="1625"/>
      <c r="B233" s="1625"/>
      <c r="C233" s="1625"/>
      <c r="D233" s="1698"/>
      <c r="E233" s="1633" t="s">
        <v>4315</v>
      </c>
      <c r="F233" s="1625"/>
      <c r="G233" s="1625"/>
      <c r="H233" s="1646">
        <f>'Part II-Development Team'!H30</f>
        <v>0</v>
      </c>
      <c r="I233" s="1646">
        <f>'Part II-Development Team'!I30</f>
        <v>0</v>
      </c>
      <c r="J233" s="1650">
        <f>'Part II-Development Team'!J30</f>
        <v>0</v>
      </c>
      <c r="K233" s="1630" t="s">
        <v>2000</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2004</v>
      </c>
      <c r="D235" s="1675" t="s">
        <v>1873</v>
      </c>
      <c r="E235" s="1625"/>
      <c r="F235" s="1625"/>
      <c r="G235" s="1625"/>
      <c r="H235" s="1625"/>
      <c r="I235" s="1625"/>
      <c r="J235" s="1625"/>
      <c r="K235" s="1627" t="s">
        <v>4314</v>
      </c>
      <c r="L235" s="1625"/>
      <c r="M235" s="1625"/>
      <c r="N235" s="1625"/>
      <c r="O235" s="1625"/>
      <c r="P235" s="1625"/>
      <c r="Q235" s="1625"/>
      <c r="R235" s="1625"/>
      <c r="S235" s="1625"/>
    </row>
    <row r="236" spans="1:19">
      <c r="A236" s="1625"/>
      <c r="B236" s="1625"/>
      <c r="C236" s="1625"/>
      <c r="D236" s="1622" t="s">
        <v>2132</v>
      </c>
      <c r="E236" s="1625" t="s">
        <v>758</v>
      </c>
      <c r="F236" s="1625"/>
      <c r="G236" s="1625"/>
      <c r="H236" s="1625" t="str">
        <f>'Part II-Development Team'!H33</f>
        <v>SunTrust Community Capital, LLC</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2005</v>
      </c>
      <c r="P236" s="1633"/>
      <c r="Q236" s="1625" t="str">
        <f>'Part II-Development Team'!Q33</f>
        <v>Brian Womble</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1155 Peachtree St, Ste 300</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First 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Atlanta</v>
      </c>
      <c r="I238" s="1625">
        <f>'Part II-Development Team'!I35</f>
        <v>0</v>
      </c>
      <c r="J238" s="1625">
        <f>'Part II-Development Team'!J35</f>
        <v>0</v>
      </c>
      <c r="K238" s="1630" t="s">
        <v>2722</v>
      </c>
      <c r="L238" s="1625" t="str">
        <f>'Part II-Development Team'!L35</f>
        <v>www.suntrust.com</v>
      </c>
      <c r="M238" s="1625">
        <f>'Part II-Development Team'!M35</f>
        <v>0</v>
      </c>
      <c r="N238" s="1625">
        <f>'Part II-Development Team'!N35</f>
        <v>0</v>
      </c>
      <c r="O238" s="1633" t="s">
        <v>1734</v>
      </c>
      <c r="P238" s="1625"/>
      <c r="Q238" s="1646">
        <f>'Part II-Development Team'!Q35</f>
        <v>4045888775</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GA</v>
      </c>
      <c r="I239" s="1625"/>
      <c r="J239" s="1625"/>
      <c r="K239" s="1630" t="s">
        <v>2245</v>
      </c>
      <c r="L239" s="1645">
        <f>'Part II-Development Team'!L36</f>
        <v>303097720</v>
      </c>
      <c r="M239" s="1645">
        <f>'Part II-Development Team'!M36</f>
        <v>0</v>
      </c>
      <c r="N239" s="1625"/>
      <c r="O239" s="1633" t="s">
        <v>1995</v>
      </c>
      <c r="P239" s="1625"/>
      <c r="Q239" s="1646">
        <f>'Part II-Development Team'!Q36</f>
        <v>0</v>
      </c>
      <c r="R239" s="1646">
        <f>'Part II-Development Team'!R36</f>
        <v>0</v>
      </c>
      <c r="S239" s="1646">
        <f>'Part II-Development Team'!S36</f>
        <v>0</v>
      </c>
    </row>
    <row r="240" spans="1:19">
      <c r="A240" s="1625"/>
      <c r="B240" s="1625"/>
      <c r="C240" s="1625"/>
      <c r="D240" s="1698"/>
      <c r="E240" s="1633" t="s">
        <v>4315</v>
      </c>
      <c r="F240" s="1625"/>
      <c r="G240" s="1625"/>
      <c r="H240" s="1646">
        <f>'Part II-Development Team'!H37</f>
        <v>0</v>
      </c>
      <c r="I240" s="1646">
        <f>'Part II-Development Team'!I37</f>
        <v>0</v>
      </c>
      <c r="J240" s="1650">
        <f>'Part II-Development Team'!J37</f>
        <v>0</v>
      </c>
      <c r="K240" s="1630" t="s">
        <v>2000</v>
      </c>
      <c r="L240" s="1641" t="str">
        <f>'Part II-Development Team'!L37</f>
        <v>brian.womble@suntrust.com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2133</v>
      </c>
      <c r="E242" s="1625" t="s">
        <v>759</v>
      </c>
      <c r="F242" s="1622"/>
      <c r="G242" s="1625"/>
      <c r="H242" s="1625" t="str">
        <f>'Part II-Development Team'!H39</f>
        <v>SunTrust Community Capital, LLC</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2005</v>
      </c>
      <c r="P242" s="1633"/>
      <c r="Q242" s="1625" t="str">
        <f>'Part II-Development Team'!Q39</f>
        <v>Brian Womble</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1155 Peachtree St, Ste 300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First Vice President</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Atlanta</v>
      </c>
      <c r="I244" s="1625">
        <f>'Part II-Development Team'!I41</f>
        <v>0</v>
      </c>
      <c r="J244" s="1625">
        <f>'Part II-Development Team'!J41</f>
        <v>0</v>
      </c>
      <c r="K244" s="1630" t="s">
        <v>2722</v>
      </c>
      <c r="L244" s="1625" t="str">
        <f>'Part II-Development Team'!L41</f>
        <v>www.suntrust.com</v>
      </c>
      <c r="M244" s="1625">
        <f>'Part II-Development Team'!M41</f>
        <v>0</v>
      </c>
      <c r="N244" s="1625">
        <f>'Part II-Development Team'!N41</f>
        <v>0</v>
      </c>
      <c r="O244" s="1633" t="s">
        <v>1734</v>
      </c>
      <c r="P244" s="1625"/>
      <c r="Q244" s="1646">
        <f>'Part II-Development Team'!Q41</f>
        <v>4045888775</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GA</v>
      </c>
      <c r="I245" s="1625"/>
      <c r="J245" s="1625"/>
      <c r="K245" s="1630" t="s">
        <v>2245</v>
      </c>
      <c r="L245" s="1645">
        <f>'Part II-Development Team'!L42</f>
        <v>303097720</v>
      </c>
      <c r="M245" s="1645">
        <f>'Part II-Development Team'!M42</f>
        <v>0</v>
      </c>
      <c r="N245" s="1625"/>
      <c r="O245" s="1633" t="s">
        <v>1995</v>
      </c>
      <c r="P245" s="1625"/>
      <c r="Q245" s="1646">
        <f>'Part II-Development Team'!Q42</f>
        <v>0</v>
      </c>
      <c r="R245" s="1646">
        <f>'Part II-Development Team'!R42</f>
        <v>0</v>
      </c>
      <c r="S245" s="1646">
        <f>'Part II-Development Team'!S42</f>
        <v>0</v>
      </c>
    </row>
    <row r="246" spans="1:19">
      <c r="A246" s="1625"/>
      <c r="B246" s="1625"/>
      <c r="C246" s="1625"/>
      <c r="D246" s="1698"/>
      <c r="E246" s="1633" t="s">
        <v>4315</v>
      </c>
      <c r="F246" s="1625"/>
      <c r="G246" s="1625"/>
      <c r="H246" s="1646">
        <f>'Part II-Development Team'!H43</f>
        <v>0</v>
      </c>
      <c r="I246" s="1646">
        <f>'Part II-Development Team'!I43</f>
        <v>0</v>
      </c>
      <c r="J246" s="1650">
        <f>'Part II-Development Team'!J43</f>
        <v>0</v>
      </c>
      <c r="K246" s="1630" t="s">
        <v>2000</v>
      </c>
      <c r="L246" s="1641" t="str">
        <f>'Part II-Development Team'!L43</f>
        <v>brian.womble@suntrust.com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2551</v>
      </c>
      <c r="D248" s="1675" t="s">
        <v>657</v>
      </c>
      <c r="E248" s="1625"/>
      <c r="F248" s="1625"/>
      <c r="G248" s="1625"/>
      <c r="H248" s="1625"/>
      <c r="I248" s="1625"/>
      <c r="J248" s="1625"/>
      <c r="K248" s="1627" t="s">
        <v>4314</v>
      </c>
      <c r="L248" s="1625"/>
      <c r="M248" s="1625"/>
      <c r="N248" s="1625"/>
      <c r="O248" s="1625"/>
      <c r="P248" s="1625"/>
      <c r="Q248" s="1625"/>
      <c r="R248" s="1625"/>
      <c r="S248" s="1625"/>
    </row>
    <row r="249" spans="1:19">
      <c r="A249" s="1625"/>
      <c r="B249" s="1625"/>
      <c r="C249" s="1625"/>
      <c r="D249" s="1625"/>
      <c r="E249" s="1625" t="s">
        <v>93</v>
      </c>
      <c r="F249" s="1625"/>
      <c r="G249" s="1625"/>
      <c r="H249" s="1625">
        <f>'Part II-Development Team'!H46</f>
        <v>0</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2005</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2722</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2245</v>
      </c>
      <c r="L252" s="1645">
        <f>'Part II-Development Team'!L49</f>
        <v>0</v>
      </c>
      <c r="M252" s="1645">
        <f>'Part II-Development Team'!M49</f>
        <v>0</v>
      </c>
      <c r="N252" s="1625"/>
      <c r="O252" s="1633" t="s">
        <v>1995</v>
      </c>
      <c r="P252" s="1625"/>
      <c r="Q252" s="1646">
        <f>'Part II-Development Team'!Q49</f>
        <v>0</v>
      </c>
      <c r="R252" s="1646">
        <f>'Part II-Development Team'!R49</f>
        <v>0</v>
      </c>
      <c r="S252" s="1646">
        <f>'Part II-Development Team'!S49</f>
        <v>0</v>
      </c>
    </row>
    <row r="253" spans="1:19">
      <c r="A253" s="1625"/>
      <c r="B253" s="1625"/>
      <c r="C253" s="1625"/>
      <c r="D253" s="1698"/>
      <c r="E253" s="1633" t="s">
        <v>4315</v>
      </c>
      <c r="F253" s="1625"/>
      <c r="G253" s="1625"/>
      <c r="H253" s="1646">
        <f>'Part II-Development Team'!H50</f>
        <v>0</v>
      </c>
      <c r="I253" s="1646">
        <f>'Part II-Development Team'!I50</f>
        <v>0</v>
      </c>
      <c r="J253" s="1650">
        <f>'Part II-Development Team'!J50</f>
        <v>0</v>
      </c>
      <c r="K253" s="1630" t="s">
        <v>2000</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4314</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1999</v>
      </c>
      <c r="C257" s="1622" t="s">
        <v>284</v>
      </c>
      <c r="D257" s="1625"/>
      <c r="E257" s="1625"/>
      <c r="F257" s="1625"/>
      <c r="G257" s="1625"/>
      <c r="H257" s="1625" t="str">
        <f>'Part II-Development Team'!H54</f>
        <v>New Affordable Housing Partners, LLC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2005</v>
      </c>
      <c r="P257" s="1633"/>
      <c r="Q257" s="1625" t="str">
        <f>'Part II-Development Team'!Q54</f>
        <v>James S. Grauley</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1718 Peachtree St, NW, Suite 684</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President</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Atlanta</v>
      </c>
      <c r="I259" s="1625">
        <f>'Part II-Development Team'!I56</f>
        <v>0</v>
      </c>
      <c r="J259" s="1625">
        <f>'Part II-Development Team'!J56</f>
        <v>0</v>
      </c>
      <c r="K259" s="1630" t="s">
        <v>2722</v>
      </c>
      <c r="L259" s="1625" t="str">
        <f>'Part II-Development Team'!L56</f>
        <v>www.columbiares.com</v>
      </c>
      <c r="M259" s="1625">
        <f>'Part II-Development Team'!M56</f>
        <v>0</v>
      </c>
      <c r="N259" s="1625">
        <f>'Part II-Development Team'!N56</f>
        <v>0</v>
      </c>
      <c r="O259" s="1633" t="s">
        <v>1734</v>
      </c>
      <c r="P259" s="1625"/>
      <c r="Q259" s="1646">
        <f>'Part II-Development Team'!Q56</f>
        <v>4044191432</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GA</v>
      </c>
      <c r="I260" s="1625"/>
      <c r="J260" s="1625"/>
      <c r="K260" s="1630" t="s">
        <v>2245</v>
      </c>
      <c r="L260" s="1645">
        <f>'Part II-Development Team'!L57</f>
        <v>303092496</v>
      </c>
      <c r="M260" s="1645">
        <f>'Part II-Development Team'!M57</f>
        <v>0</v>
      </c>
      <c r="N260" s="1625"/>
      <c r="O260" s="1633" t="s">
        <v>1995</v>
      </c>
      <c r="P260" s="1625"/>
      <c r="Q260" s="1646">
        <f>'Part II-Development Team'!Q57</f>
        <v>4047838060</v>
      </c>
      <c r="R260" s="1646">
        <f>'Part II-Development Team'!R57</f>
        <v>0</v>
      </c>
      <c r="S260" s="1646">
        <f>'Part II-Development Team'!S57</f>
        <v>0</v>
      </c>
    </row>
    <row r="261" spans="1:19">
      <c r="A261" s="1625"/>
      <c r="B261" s="1625"/>
      <c r="C261" s="1625"/>
      <c r="D261" s="1698"/>
      <c r="E261" s="1633" t="s">
        <v>4315</v>
      </c>
      <c r="F261" s="1625"/>
      <c r="G261" s="1625"/>
      <c r="H261" s="1646">
        <f>'Part II-Development Team'!H58</f>
        <v>0</v>
      </c>
      <c r="I261" s="1646">
        <f>'Part II-Development Team'!I58</f>
        <v>0</v>
      </c>
      <c r="J261" s="1650">
        <f>'Part II-Development Team'!J58</f>
        <v>0</v>
      </c>
      <c r="K261" s="1630" t="s">
        <v>2000</v>
      </c>
      <c r="L261" s="1641" t="str">
        <f>'Part II-Development Team'!L58</f>
        <v>jgrauley@columbiares.com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2001</v>
      </c>
      <c r="C263" s="1622" t="s">
        <v>285</v>
      </c>
      <c r="D263" s="1625"/>
      <c r="E263" s="1625"/>
      <c r="F263" s="1625"/>
      <c r="G263" s="1625"/>
      <c r="H263" s="1625" t="str">
        <f>'Part II-Development Team'!H60</f>
        <v>Quest Community Development Organization, Inc</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2005</v>
      </c>
      <c r="P263" s="1633"/>
      <c r="Q263" s="1625" t="str">
        <f>'Part II-Development Team'!Q60</f>
        <v>Leonard Adams</v>
      </c>
      <c r="R263" s="1625">
        <f>'Part II-Development Team'!R60</f>
        <v>0</v>
      </c>
      <c r="S263" s="1625">
        <f>'Part II-Development Team'!S60</f>
        <v>0</v>
      </c>
    </row>
    <row r="264" spans="1:19">
      <c r="A264" s="1625"/>
      <c r="B264" s="1625"/>
      <c r="C264" s="1625"/>
      <c r="D264" s="1698"/>
      <c r="E264" s="1633" t="s">
        <v>1031</v>
      </c>
      <c r="F264" s="1636"/>
      <c r="G264" s="1625"/>
      <c r="H264" s="1625" t="str">
        <f>'Part II-Development Team'!H61</f>
        <v>878 Rock St. NW</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t="str">
        <f>'Part II-Development Team'!Q61</f>
        <v>CEO</v>
      </c>
      <c r="R264" s="1625">
        <f>'Part II-Development Team'!R61</f>
        <v>0</v>
      </c>
      <c r="S264" s="1625">
        <f>'Part II-Development Team'!S61</f>
        <v>0</v>
      </c>
    </row>
    <row r="265" spans="1:19">
      <c r="A265" s="1625"/>
      <c r="B265" s="1625"/>
      <c r="C265" s="1625"/>
      <c r="D265" s="1698"/>
      <c r="E265" s="1633" t="s">
        <v>624</v>
      </c>
      <c r="F265" s="1625"/>
      <c r="G265" s="1625"/>
      <c r="H265" s="1625" t="str">
        <f>'Part II-Development Team'!H62</f>
        <v>Atlanta</v>
      </c>
      <c r="I265" s="1625">
        <f>'Part II-Development Team'!I62</f>
        <v>0</v>
      </c>
      <c r="J265" s="1625">
        <f>'Part II-Development Team'!J62</f>
        <v>0</v>
      </c>
      <c r="K265" s="1630" t="s">
        <v>2722</v>
      </c>
      <c r="L265" s="1625" t="str">
        <f>'Part II-Development Team'!L62</f>
        <v>www.questcommunities.org</v>
      </c>
      <c r="M265" s="1625">
        <f>'Part II-Development Team'!M62</f>
        <v>0</v>
      </c>
      <c r="N265" s="1625">
        <f>'Part II-Development Team'!N62</f>
        <v>0</v>
      </c>
      <c r="O265" s="1633" t="s">
        <v>1734</v>
      </c>
      <c r="P265" s="1625"/>
      <c r="Q265" s="1646">
        <f>'Part II-Development Team'!Q62</f>
        <v>6787055318</v>
      </c>
      <c r="R265" s="1646">
        <f>'Part II-Development Team'!R62</f>
        <v>0</v>
      </c>
      <c r="S265" s="1646">
        <f>'Part II-Development Team'!S62</f>
        <v>0</v>
      </c>
    </row>
    <row r="266" spans="1:19">
      <c r="A266" s="1625"/>
      <c r="B266" s="1625"/>
      <c r="C266" s="1625"/>
      <c r="D266" s="1625"/>
      <c r="E266" s="1633" t="s">
        <v>1812</v>
      </c>
      <c r="F266" s="1625"/>
      <c r="G266" s="1625"/>
      <c r="H266" s="1633" t="str">
        <f>'Part II-Development Team'!H63</f>
        <v>GA</v>
      </c>
      <c r="I266" s="1625"/>
      <c r="J266" s="1625"/>
      <c r="K266" s="1630" t="s">
        <v>2245</v>
      </c>
      <c r="L266" s="1645">
        <f>'Part II-Development Team'!L63</f>
        <v>303143377</v>
      </c>
      <c r="M266" s="1645">
        <f>'Part II-Development Team'!M63</f>
        <v>0</v>
      </c>
      <c r="N266" s="1625"/>
      <c r="O266" s="1633" t="s">
        <v>1995</v>
      </c>
      <c r="P266" s="1625"/>
      <c r="Q266" s="1646">
        <f>'Part II-Development Team'!Q63</f>
        <v>0</v>
      </c>
      <c r="R266" s="1646">
        <f>'Part II-Development Team'!R63</f>
        <v>0</v>
      </c>
      <c r="S266" s="1646">
        <f>'Part II-Development Team'!S63</f>
        <v>0</v>
      </c>
    </row>
    <row r="267" spans="1:19">
      <c r="A267" s="1625"/>
      <c r="B267" s="1625"/>
      <c r="C267" s="1625"/>
      <c r="D267" s="1698"/>
      <c r="E267" s="1633" t="s">
        <v>4315</v>
      </c>
      <c r="F267" s="1625"/>
      <c r="G267" s="1625"/>
      <c r="H267" s="1646">
        <f>'Part II-Development Team'!H64</f>
        <v>0</v>
      </c>
      <c r="I267" s="1646">
        <f>'Part II-Development Team'!I64</f>
        <v>0</v>
      </c>
      <c r="J267" s="1650">
        <f>'Part II-Development Team'!J64</f>
        <v>0</v>
      </c>
      <c r="K267" s="1630" t="s">
        <v>2000</v>
      </c>
      <c r="L267" s="1641" t="str">
        <f>'Part II-Development Team'!L64</f>
        <v>ladams@questcommunities.org</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2005</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2722</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2245</v>
      </c>
      <c r="L272" s="1645">
        <f>'Part II-Development Team'!L69</f>
        <v>0</v>
      </c>
      <c r="M272" s="1645">
        <f>'Part II-Development Team'!M69</f>
        <v>0</v>
      </c>
      <c r="N272" s="1625"/>
      <c r="O272" s="1633" t="s">
        <v>1995</v>
      </c>
      <c r="P272" s="1625"/>
      <c r="Q272" s="1646">
        <f>'Part II-Development Team'!Q69</f>
        <v>0</v>
      </c>
      <c r="R272" s="1646">
        <f>'Part II-Development Team'!R69</f>
        <v>0</v>
      </c>
      <c r="S272" s="1646">
        <f>'Part II-Development Team'!S69</f>
        <v>0</v>
      </c>
    </row>
    <row r="273" spans="1:19">
      <c r="A273" s="1625"/>
      <c r="B273" s="1625"/>
      <c r="C273" s="1625"/>
      <c r="D273" s="1698"/>
      <c r="E273" s="1633" t="s">
        <v>4315</v>
      </c>
      <c r="F273" s="1625"/>
      <c r="G273" s="1625"/>
      <c r="H273" s="1646">
        <f>'Part II-Development Team'!H70</f>
        <v>0</v>
      </c>
      <c r="I273" s="1646">
        <f>'Part II-Development Team'!I70</f>
        <v>0</v>
      </c>
      <c r="J273" s="1650">
        <f>'Part II-Development Team'!J70</f>
        <v>0</v>
      </c>
      <c r="K273" s="1630" t="s">
        <v>2000</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2131</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2005</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2722</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2245</v>
      </c>
      <c r="L278" s="1645">
        <f>'Part II-Development Team'!L75</f>
        <v>0</v>
      </c>
      <c r="M278" s="1645">
        <f>'Part II-Development Team'!M75</f>
        <v>0</v>
      </c>
      <c r="N278" s="1625"/>
      <c r="O278" s="1633" t="s">
        <v>1995</v>
      </c>
      <c r="P278" s="1625"/>
      <c r="Q278" s="1646">
        <f>'Part II-Development Team'!Q75</f>
        <v>0</v>
      </c>
      <c r="R278" s="1646">
        <f>'Part II-Development Team'!R75</f>
        <v>0</v>
      </c>
      <c r="S278" s="1646">
        <f>'Part II-Development Team'!S75</f>
        <v>0</v>
      </c>
    </row>
    <row r="279" spans="1:19">
      <c r="A279" s="1625"/>
      <c r="B279" s="1625"/>
      <c r="C279" s="1625"/>
      <c r="D279" s="1698"/>
      <c r="E279" s="1633" t="s">
        <v>4315</v>
      </c>
      <c r="F279" s="1625"/>
      <c r="G279" s="1625"/>
      <c r="H279" s="1646">
        <f>'Part II-Development Team'!H76</f>
        <v>0</v>
      </c>
      <c r="I279" s="1646">
        <f>'Part II-Development Team'!I76</f>
        <v>0</v>
      </c>
      <c r="J279" s="1650">
        <f>'Part II-Development Team'!J76</f>
        <v>0</v>
      </c>
      <c r="K279" s="1630" t="s">
        <v>2000</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4314</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1999</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2005</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2722</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2245</v>
      </c>
      <c r="L286" s="1645">
        <f>'Part II-Development Team'!L83</f>
        <v>0</v>
      </c>
      <c r="M286" s="1645">
        <f>'Part II-Development Team'!M83</f>
        <v>0</v>
      </c>
      <c r="N286" s="1625"/>
      <c r="O286" s="1633" t="s">
        <v>1995</v>
      </c>
      <c r="P286" s="1625"/>
      <c r="Q286" s="1646">
        <f>'Part II-Development Team'!Q83</f>
        <v>0</v>
      </c>
      <c r="R286" s="1646">
        <f>'Part II-Development Team'!R83</f>
        <v>0</v>
      </c>
      <c r="S286" s="1646">
        <f>'Part II-Development Team'!S83</f>
        <v>0</v>
      </c>
    </row>
    <row r="287" spans="1:19">
      <c r="A287" s="1625"/>
      <c r="B287" s="1625"/>
      <c r="C287" s="1625"/>
      <c r="D287" s="1698"/>
      <c r="E287" s="1633" t="s">
        <v>4315</v>
      </c>
      <c r="F287" s="1625"/>
      <c r="G287" s="1625"/>
      <c r="H287" s="1646">
        <f>'Part II-Development Team'!H84</f>
        <v>0</v>
      </c>
      <c r="I287" s="1646">
        <f>'Part II-Development Team'!I84</f>
        <v>0</v>
      </c>
      <c r="J287" s="1650">
        <f>'Part II-Development Team'!J84</f>
        <v>0</v>
      </c>
      <c r="K287" s="1630" t="s">
        <v>2000</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2001</v>
      </c>
      <c r="C289" s="1622" t="s">
        <v>289</v>
      </c>
      <c r="D289" s="1625"/>
      <c r="E289" s="1625"/>
      <c r="F289" s="1625"/>
      <c r="G289" s="1625"/>
      <c r="H289" s="1625" t="str">
        <f>'Part II-Development Team'!H86</f>
        <v>Prestwick Construction</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2005</v>
      </c>
      <c r="P289" s="1633"/>
      <c r="Q289" s="1625" t="str">
        <f>'Part II-Development Team'!Q86</f>
        <v>Ray Dotson</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3715 Northside Parkway NW, Building 400, Suite 120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President</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Atlanta</v>
      </c>
      <c r="I291" s="1625">
        <f>'Part II-Development Team'!I88</f>
        <v>0</v>
      </c>
      <c r="J291" s="1625">
        <f>'Part II-Development Team'!J88</f>
        <v>0</v>
      </c>
      <c r="K291" s="1630" t="s">
        <v>2722</v>
      </c>
      <c r="L291" s="1625" t="str">
        <f>'Part II-Development Team'!L88</f>
        <v>prestwickcompanies.com</v>
      </c>
      <c r="M291" s="1625">
        <f>'Part II-Development Team'!M88</f>
        <v>0</v>
      </c>
      <c r="N291" s="1625">
        <f>'Part II-Development Team'!N88</f>
        <v>0</v>
      </c>
      <c r="O291" s="1633" t="s">
        <v>1734</v>
      </c>
      <c r="P291" s="1625"/>
      <c r="Q291" s="1646">
        <f>'Part II-Development Team'!Q88</f>
        <v>4049493882</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GA</v>
      </c>
      <c r="I292" s="1625"/>
      <c r="J292" s="1625"/>
      <c r="K292" s="1630" t="s">
        <v>2245</v>
      </c>
      <c r="L292" s="1645">
        <f>'Part II-Development Team'!L89</f>
        <v>303272802</v>
      </c>
      <c r="M292" s="1645">
        <f>'Part II-Development Team'!M89</f>
        <v>0</v>
      </c>
      <c r="N292" s="1625"/>
      <c r="O292" s="1633" t="s">
        <v>1995</v>
      </c>
      <c r="P292" s="1625"/>
      <c r="Q292" s="1646">
        <f>'Part II-Development Team'!Q89</f>
        <v>4043761063</v>
      </c>
      <c r="R292" s="1646">
        <f>'Part II-Development Team'!R89</f>
        <v>0</v>
      </c>
      <c r="S292" s="1646">
        <f>'Part II-Development Team'!S89</f>
        <v>0</v>
      </c>
    </row>
    <row r="293" spans="1:19">
      <c r="A293" s="1625"/>
      <c r="B293" s="1625"/>
      <c r="C293" s="1625"/>
      <c r="D293" s="1698"/>
      <c r="E293" s="1633" t="s">
        <v>4315</v>
      </c>
      <c r="F293" s="1625"/>
      <c r="G293" s="1625"/>
      <c r="H293" s="1646">
        <f>'Part II-Development Team'!H90</f>
        <v>0</v>
      </c>
      <c r="I293" s="1646">
        <f>'Part II-Development Team'!I90</f>
        <v>0</v>
      </c>
      <c r="J293" s="1650">
        <f>'Part II-Development Team'!J90</f>
        <v>0</v>
      </c>
      <c r="K293" s="1630" t="s">
        <v>2000</v>
      </c>
      <c r="L293" s="1641" t="str">
        <f>'Part II-Development Team'!L90</f>
        <v>ray.dotson@prestwickcompanies.com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New Columbia Residential Property Management</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2005</v>
      </c>
      <c r="P295" s="1633"/>
      <c r="Q295" s="1625" t="str">
        <f>'Part II-Development Team'!Q92</f>
        <v>James S. Grauley</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1718 Peachtree St, NW, Suite 684</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President</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Atlanta</v>
      </c>
      <c r="I297" s="1625">
        <f>'Part II-Development Team'!I94</f>
        <v>0</v>
      </c>
      <c r="J297" s="1625">
        <f>'Part II-Development Team'!J94</f>
        <v>0</v>
      </c>
      <c r="K297" s="1630" t="s">
        <v>2722</v>
      </c>
      <c r="L297" s="1625" t="str">
        <f>'Part II-Development Team'!L94</f>
        <v>www.columbiares.com</v>
      </c>
      <c r="M297" s="1625">
        <f>'Part II-Development Team'!M94</f>
        <v>0</v>
      </c>
      <c r="N297" s="1625">
        <f>'Part II-Development Team'!N94</f>
        <v>0</v>
      </c>
      <c r="O297" s="1633" t="s">
        <v>1734</v>
      </c>
      <c r="P297" s="1625"/>
      <c r="Q297" s="1646">
        <f>'Part II-Development Team'!Q94</f>
        <v>4044191432</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GA</v>
      </c>
      <c r="I298" s="1625"/>
      <c r="J298" s="1625"/>
      <c r="K298" s="1630" t="s">
        <v>2245</v>
      </c>
      <c r="L298" s="1645">
        <f>'Part II-Development Team'!L95</f>
        <v>303092496</v>
      </c>
      <c r="M298" s="1645">
        <f>'Part II-Development Team'!M95</f>
        <v>0</v>
      </c>
      <c r="N298" s="1625"/>
      <c r="O298" s="1633" t="s">
        <v>1995</v>
      </c>
      <c r="P298" s="1625"/>
      <c r="Q298" s="1646">
        <f>'Part II-Development Team'!Q95</f>
        <v>4047838060</v>
      </c>
      <c r="R298" s="1646">
        <f>'Part II-Development Team'!R95</f>
        <v>0</v>
      </c>
      <c r="S298" s="1646">
        <f>'Part II-Development Team'!S95</f>
        <v>0</v>
      </c>
    </row>
    <row r="299" spans="1:19">
      <c r="A299" s="1625"/>
      <c r="B299" s="1625"/>
      <c r="C299" s="1625"/>
      <c r="D299" s="1698"/>
      <c r="E299" s="1633" t="s">
        <v>4315</v>
      </c>
      <c r="F299" s="1625"/>
      <c r="G299" s="1625"/>
      <c r="H299" s="1646">
        <f>'Part II-Development Team'!H96</f>
        <v>0</v>
      </c>
      <c r="I299" s="1646">
        <f>'Part II-Development Team'!I96</f>
        <v>0</v>
      </c>
      <c r="J299" s="1650">
        <f>'Part II-Development Team'!J96</f>
        <v>0</v>
      </c>
      <c r="K299" s="1630" t="s">
        <v>2000</v>
      </c>
      <c r="L299" s="1641" t="str">
        <f>'Part II-Development Team'!L96</f>
        <v>jgrauley@columbiares.com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2131</v>
      </c>
      <c r="C301" s="1622" t="s">
        <v>291</v>
      </c>
      <c r="D301" s="1625"/>
      <c r="E301" s="1625"/>
      <c r="F301" s="1625"/>
      <c r="G301" s="1625"/>
      <c r="H301" s="1625" t="str">
        <f>'Part II-Development Team'!H98</f>
        <v>Hunter, MacLean, Exley &amp; Dunn, P.C.</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2005</v>
      </c>
      <c r="P301" s="1633"/>
      <c r="Q301" s="1625" t="str">
        <f>'Part II-Development Team'!Q98</f>
        <v>Ted Henneman</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200 E. St. Julian Street</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Attorney at Law</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Savannah</v>
      </c>
      <c r="I303" s="1625">
        <f>'Part II-Development Team'!I100</f>
        <v>0</v>
      </c>
      <c r="J303" s="1625">
        <f>'Part II-Development Team'!J100</f>
        <v>0</v>
      </c>
      <c r="K303" s="1630" t="s">
        <v>2722</v>
      </c>
      <c r="L303" s="1625" t="str">
        <f>'Part II-Development Team'!L100</f>
        <v>www.huntermaclean.com</v>
      </c>
      <c r="M303" s="1625">
        <f>'Part II-Development Team'!M100</f>
        <v>0</v>
      </c>
      <c r="N303" s="1625">
        <f>'Part II-Development Team'!N100</f>
        <v>0</v>
      </c>
      <c r="O303" s="1633" t="s">
        <v>1734</v>
      </c>
      <c r="P303" s="1625"/>
      <c r="Q303" s="1646">
        <f>'Part II-Development Team'!Q100</f>
        <v>9129441635</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2245</v>
      </c>
      <c r="L304" s="1645">
        <f>'Part II-Development Team'!L101</f>
        <v>314012700</v>
      </c>
      <c r="M304" s="1645">
        <f>'Part II-Development Team'!M101</f>
        <v>0</v>
      </c>
      <c r="N304" s="1625"/>
      <c r="O304" s="1633" t="s">
        <v>1995</v>
      </c>
      <c r="P304" s="1625"/>
      <c r="Q304" s="1646">
        <f>'Part II-Development Team'!Q101</f>
        <v>0</v>
      </c>
      <c r="R304" s="1646">
        <f>'Part II-Development Team'!R101</f>
        <v>0</v>
      </c>
      <c r="S304" s="1646">
        <f>'Part II-Development Team'!S101</f>
        <v>0</v>
      </c>
    </row>
    <row r="305" spans="1:19">
      <c r="A305" s="1632"/>
      <c r="B305" s="1632"/>
      <c r="C305" s="1632"/>
      <c r="D305" s="1632"/>
      <c r="E305" s="1633" t="s">
        <v>4315</v>
      </c>
      <c r="F305" s="1625"/>
      <c r="G305" s="1625"/>
      <c r="H305" s="1646">
        <f>'Part II-Development Team'!H102</f>
        <v>0</v>
      </c>
      <c r="I305" s="1646">
        <f>'Part II-Development Team'!I102</f>
        <v>0</v>
      </c>
      <c r="J305" s="1650">
        <f>'Part II-Development Team'!J102</f>
        <v>0</v>
      </c>
      <c r="K305" s="1630" t="s">
        <v>2000</v>
      </c>
      <c r="L305" s="1641" t="str">
        <f>'Part II-Development Team'!L102</f>
        <v>thenneman@huntermaclean.com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Cohn Reznick</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2005</v>
      </c>
      <c r="P307" s="1633"/>
      <c r="Q307" s="1625" t="str">
        <f>'Part II-Development Team'!Q104</f>
        <v>Wendy Langlais-Tillery</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2002 Summit Blvd</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Atlanta</v>
      </c>
      <c r="I309" s="1625">
        <f>'Part II-Development Team'!I106</f>
        <v>0</v>
      </c>
      <c r="J309" s="1625">
        <f>'Part II-Development Team'!J106</f>
        <v>0</v>
      </c>
      <c r="K309" s="1630" t="s">
        <v>2722</v>
      </c>
      <c r="L309" s="1625" t="str">
        <f>'Part II-Development Team'!L106</f>
        <v>www.cohnreznick.com</v>
      </c>
      <c r="M309" s="1625">
        <f>'Part II-Development Team'!M106</f>
        <v>0</v>
      </c>
      <c r="N309" s="1625">
        <f>'Part II-Development Team'!N106</f>
        <v>0</v>
      </c>
      <c r="O309" s="1633" t="s">
        <v>1734</v>
      </c>
      <c r="P309" s="1625"/>
      <c r="Q309" s="1646">
        <f>'Part II-Development Team'!Q106</f>
        <v>4048477774</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GA</v>
      </c>
      <c r="I310" s="1625"/>
      <c r="J310" s="1625"/>
      <c r="K310" s="1630" t="s">
        <v>2245</v>
      </c>
      <c r="L310" s="1645">
        <f>'Part II-Development Team'!L107</f>
        <v>303191497</v>
      </c>
      <c r="M310" s="1645">
        <f>'Part II-Development Team'!M107</f>
        <v>0</v>
      </c>
      <c r="N310" s="1625"/>
      <c r="O310" s="1633" t="s">
        <v>1995</v>
      </c>
      <c r="P310" s="1625"/>
      <c r="Q310" s="1646">
        <f>'Part II-Development Team'!Q107</f>
        <v>0</v>
      </c>
      <c r="R310" s="1646">
        <f>'Part II-Development Team'!R107</f>
        <v>0</v>
      </c>
      <c r="S310" s="1646">
        <f>'Part II-Development Team'!S107</f>
        <v>0</v>
      </c>
    </row>
    <row r="311" spans="1:19">
      <c r="A311" s="1632"/>
      <c r="B311" s="1632"/>
      <c r="C311" s="1632"/>
      <c r="D311" s="1632"/>
      <c r="E311" s="1633" t="s">
        <v>4315</v>
      </c>
      <c r="F311" s="1625"/>
      <c r="G311" s="1625"/>
      <c r="H311" s="1646">
        <f>'Part II-Development Team'!H108</f>
        <v>0</v>
      </c>
      <c r="I311" s="1646">
        <f>'Part II-Development Team'!I108</f>
        <v>0</v>
      </c>
      <c r="J311" s="1650">
        <f>'Part II-Development Team'!J108</f>
        <v>0</v>
      </c>
      <c r="K311" s="1630" t="s">
        <v>2000</v>
      </c>
      <c r="L311" s="1641" t="str">
        <f>'Part II-Development Team'!L108</f>
        <v>wendy.langlais@cohnreznick.com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5G Studio Collaborative</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2005</v>
      </c>
      <c r="P313" s="1633"/>
      <c r="Q313" s="1625" t="str">
        <f>'Part II-Development Team'!Q110</f>
        <v>Jim Viviano</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260 Peachtree St, Suite 500</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Patner</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Atlanta</v>
      </c>
      <c r="I315" s="1625">
        <f>'Part II-Development Team'!I112</f>
        <v>0</v>
      </c>
      <c r="J315" s="1625">
        <f>'Part II-Development Team'!J112</f>
        <v>0</v>
      </c>
      <c r="K315" s="1630" t="s">
        <v>2722</v>
      </c>
      <c r="L315" s="1625" t="str">
        <f>'Part II-Development Team'!L112</f>
        <v>www.5gstudio.com</v>
      </c>
      <c r="M315" s="1625">
        <f>'Part II-Development Team'!M112</f>
        <v>0</v>
      </c>
      <c r="N315" s="1625">
        <f>'Part II-Development Team'!N112</f>
        <v>0</v>
      </c>
      <c r="O315" s="1633" t="s">
        <v>1734</v>
      </c>
      <c r="P315" s="1625"/>
      <c r="Q315" s="1646">
        <f>'Part II-Development Team'!Q112</f>
        <v>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2245</v>
      </c>
      <c r="L316" s="1645">
        <f>'Part II-Development Team'!L113</f>
        <v>303031264</v>
      </c>
      <c r="M316" s="1645">
        <f>'Part II-Development Team'!M113</f>
        <v>0</v>
      </c>
      <c r="N316" s="1625"/>
      <c r="O316" s="1633" t="s">
        <v>1995</v>
      </c>
      <c r="P316" s="1625"/>
      <c r="Q316" s="1646">
        <f>'Part II-Development Team'!Q113</f>
        <v>0</v>
      </c>
      <c r="R316" s="1646">
        <f>'Part II-Development Team'!R113</f>
        <v>0</v>
      </c>
      <c r="S316" s="1646">
        <f>'Part II-Development Team'!S113</f>
        <v>0</v>
      </c>
    </row>
    <row r="317" spans="1:19">
      <c r="A317" s="1625"/>
      <c r="B317" s="1625"/>
      <c r="C317" s="1625"/>
      <c r="D317" s="1698"/>
      <c r="E317" s="1633" t="s">
        <v>4315</v>
      </c>
      <c r="F317" s="1625"/>
      <c r="G317" s="1625"/>
      <c r="H317" s="1646">
        <f>'Part II-Development Team'!H114</f>
        <v>0</v>
      </c>
      <c r="I317" s="1646">
        <f>'Part II-Development Team'!I114</f>
        <v>0</v>
      </c>
      <c r="J317" s="1650">
        <f>'Part II-Development Team'!J114</f>
        <v>0</v>
      </c>
      <c r="K317" s="1630" t="s">
        <v>2000</v>
      </c>
      <c r="L317" s="1641" t="str">
        <f>'Part II-Development Team'!L114</f>
        <v>jimviviano@5gstudio.com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2620</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1999</v>
      </c>
      <c r="C320" s="1622" t="s">
        <v>4728</v>
      </c>
      <c r="D320" s="1625"/>
      <c r="E320" s="1625"/>
      <c r="F320" s="1625"/>
      <c r="G320" s="1625"/>
      <c r="H320" s="1625" t="str">
        <f>'Part II-Development Team'!H117</f>
        <v>New Columbia Residential, LLC</v>
      </c>
      <c r="I320" s="1625">
        <f>'Part II-Development Team'!I117</f>
        <v>0</v>
      </c>
      <c r="J320" s="1625">
        <f>'Part II-Development Team'!J117</f>
        <v>0</v>
      </c>
      <c r="K320" s="1630" t="s">
        <v>2490</v>
      </c>
      <c r="L320" s="1625" t="str">
        <f>'Part II-Development Team'!L117</f>
        <v>James S. Grauley</v>
      </c>
      <c r="M320" s="1625">
        <f>'Part II-Development Team'!M117</f>
        <v>0</v>
      </c>
      <c r="N320" s="1625">
        <f>'Part II-Development Team'!N117</f>
        <v>0</v>
      </c>
      <c r="O320" s="1633" t="s">
        <v>3603</v>
      </c>
      <c r="P320" s="1625"/>
      <c r="Q320" s="1625">
        <f>'Part II-Development Team'!Q117</f>
        <v>4044191432</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1718 Peachtree St NW, Suite 684</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Atlanta</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2245</v>
      </c>
      <c r="J322" s="1645">
        <f>'Part II-Development Team'!J119</f>
        <v>303092496</v>
      </c>
      <c r="K322" s="1645">
        <f>'Part II-Development Team'!K119</f>
        <v>0</v>
      </c>
      <c r="L322" s="1630" t="s">
        <v>2000</v>
      </c>
      <c r="M322" s="1641" t="str">
        <f>'Part II-Development Team'!M119</f>
        <v>jgrauley@columbiares.com</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2001</v>
      </c>
      <c r="C323" s="1622" t="s">
        <v>2854</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3912</v>
      </c>
      <c r="B324" s="1704"/>
      <c r="C324" s="1704"/>
      <c r="D324" s="1704"/>
      <c r="E324" s="1704"/>
      <c r="F324" s="1650" t="s">
        <v>2527</v>
      </c>
      <c r="G324" s="1639" t="s">
        <v>3502</v>
      </c>
      <c r="H324" s="1639"/>
      <c r="I324" s="1639"/>
      <c r="J324" s="1639"/>
      <c r="K324" s="1639"/>
      <c r="L324" s="1639"/>
      <c r="M324" s="1639"/>
      <c r="N324" s="1639"/>
      <c r="O324" s="1639"/>
      <c r="P324" s="1639"/>
      <c r="Q324" s="1639"/>
      <c r="R324" s="1639"/>
      <c r="S324" s="1639"/>
    </row>
    <row r="325" spans="1:19" ht="12.75" customHeight="1">
      <c r="A325" s="1625"/>
      <c r="B325" s="1687"/>
      <c r="C325" s="1705" t="s">
        <v>2002</v>
      </c>
      <c r="D325" s="1621" t="s">
        <v>2855</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2004</v>
      </c>
      <c r="D326" s="1621" t="s">
        <v>2921</v>
      </c>
      <c r="E326" s="1621"/>
      <c r="F326" s="1706" t="str">
        <f>'Part II-Development Team'!F123</f>
        <v>Yes</v>
      </c>
      <c r="G326" s="1707" t="str">
        <f>'Part II-Development Team'!G123</f>
        <v>The principals of New Columbia Residential, LLC, land seller, are also the principals of the developer and management entities on this project.</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2551</v>
      </c>
      <c r="D327" s="1621" t="s">
        <v>2897</v>
      </c>
      <c r="E327" s="1621"/>
      <c r="F327" s="1706" t="str">
        <f>'Part II-Development Team'!F124</f>
        <v>No</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2856</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3489</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1896</v>
      </c>
      <c r="D330" s="1621" t="s">
        <v>3490</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2857</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 xml:space="preserve"> Developer and Property Manager</v>
      </c>
      <c r="E332" s="1621">
        <f>'Part II-Development Team'!E129</f>
        <v>0</v>
      </c>
      <c r="F332" s="1706" t="str">
        <f>'Part II-Development Team'!F129</f>
        <v>Yes</v>
      </c>
      <c r="G332" s="1707" t="str">
        <f>'Part II-Development Team'!G129</f>
        <v>James S. Grauley and Noel F. Khalil are owners of  New Affordable Housing Partners and New Columbia Residential Property Management. These are the developer and property manager of Heritage Village at West Lake. Quest Community Development Organization is the General Partner and co-developer of the projejct</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4729</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2858</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3470</v>
      </c>
      <c r="F336" s="1621"/>
      <c r="G336" s="1621"/>
      <c r="H336" s="1621"/>
      <c r="I336" s="1621"/>
      <c r="J336" s="1621" t="s">
        <v>3471</v>
      </c>
      <c r="K336" s="1708" t="s">
        <v>4730</v>
      </c>
      <c r="L336" s="1708" t="s">
        <v>4731</v>
      </c>
      <c r="M336" s="1708" t="s">
        <v>4732</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4733</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2527</v>
      </c>
      <c r="J340" s="1621"/>
      <c r="K340" s="1708"/>
      <c r="L340" s="1708"/>
      <c r="M340" s="1650" t="s">
        <v>2527</v>
      </c>
      <c r="N340" s="1656" t="s">
        <v>2927</v>
      </c>
      <c r="O340" s="1656"/>
      <c r="P340" s="1656"/>
      <c r="Q340" s="1656"/>
      <c r="R340" s="1656"/>
      <c r="S340" s="1656"/>
    </row>
    <row r="341" spans="1:19" ht="13.5" customHeight="1">
      <c r="A341" s="1697" t="s">
        <v>3465</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CHDO</v>
      </c>
      <c r="L341" s="1712">
        <f>'Part II-Development Team'!L138</f>
        <v>1E-4</v>
      </c>
      <c r="M341" s="1706" t="str">
        <f>'Part II-Development Team'!M138</f>
        <v>No</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3466</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3467</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3468</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0.99980000000000002</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3469</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1E-4</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2914</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3.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No</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2915</v>
      </c>
      <c r="B348" s="1697"/>
      <c r="C348" s="1697"/>
      <c r="D348" s="1697"/>
      <c r="E348" s="1707">
        <f>'Part II-Development Team'!E145</f>
        <v>0</v>
      </c>
      <c r="F348" s="1707">
        <f>'Part II-Development Team'!F145</f>
        <v>0</v>
      </c>
      <c r="G348" s="1707">
        <f>'Part II-Development Team'!G145</f>
        <v>0</v>
      </c>
      <c r="H348" s="1707">
        <f>'Part II-Development Team'!H145</f>
        <v>0</v>
      </c>
      <c r="I348" s="1706" t="str">
        <f>'Part II-Development Team'!I145</f>
        <v>No</v>
      </c>
      <c r="J348" s="1706" t="str">
        <f>'Part II-Development Team'!J145</f>
        <v>No</v>
      </c>
      <c r="K348" s="1711" t="str">
        <f>'Part II-Development Team'!K145</f>
        <v>CHDO</v>
      </c>
      <c r="L348" s="1712">
        <f>'Part II-Development Team'!L145</f>
        <v>0</v>
      </c>
      <c r="M348" s="1706" t="str">
        <f>'Part II-Development Team'!M145</f>
        <v>No</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2916</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2918</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2917</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13.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2919</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f>'Part II-Development Team'!A153</f>
        <v>0</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2018-017 Heritage Village at West Lake, Atlanta, Fulton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2507</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2426</v>
      </c>
      <c r="D368" s="1625"/>
      <c r="E368" s="1637"/>
      <c r="F368" s="1637"/>
      <c r="G368" s="1637"/>
      <c r="H368" s="1630">
        <f>'Part III-Sources of Funds'!H5</f>
        <v>0</v>
      </c>
      <c r="I368" s="1633" t="s">
        <v>1549</v>
      </c>
      <c r="J368" s="1637"/>
      <c r="K368" s="1637"/>
      <c r="L368" s="1630">
        <f>'Part III-Sources of Funds'!L5</f>
        <v>0</v>
      </c>
      <c r="M368" s="1625" t="s">
        <v>3919</v>
      </c>
      <c r="N368" s="1637"/>
      <c r="O368" s="1637"/>
      <c r="P368" s="1637"/>
      <c r="Q368" s="1637"/>
    </row>
    <row r="369" spans="1:17" ht="13.5">
      <c r="A369" s="1623"/>
      <c r="B369" s="1630">
        <f>'Part III-Sources of Funds'!B6</f>
        <v>0</v>
      </c>
      <c r="C369" s="1633" t="s">
        <v>555</v>
      </c>
      <c r="D369" s="1625"/>
      <c r="E369" s="1637"/>
      <c r="F369" s="1637"/>
      <c r="G369" s="1637"/>
      <c r="H369" s="1630">
        <f>'Part III-Sources of Funds'!H6</f>
        <v>0</v>
      </c>
      <c r="I369" s="1633" t="s">
        <v>554</v>
      </c>
      <c r="J369" s="1637"/>
      <c r="K369" s="1637"/>
      <c r="L369" s="1630">
        <f>'Part III-Sources of Funds'!L6</f>
        <v>0</v>
      </c>
      <c r="M369" s="1633" t="s">
        <v>2618</v>
      </c>
      <c r="N369" s="1637"/>
      <c r="O369" s="1637"/>
      <c r="P369" s="1637"/>
      <c r="Q369" s="1637"/>
    </row>
    <row r="370" spans="1:17" ht="13.5">
      <c r="A370" s="1625"/>
      <c r="B370" s="1630">
        <f>'Part III-Sources of Funds'!B7</f>
        <v>0</v>
      </c>
      <c r="C370" s="1633" t="s">
        <v>3916</v>
      </c>
      <c r="D370" s="1637"/>
      <c r="E370" s="1637"/>
      <c r="F370" s="1683">
        <f>'Part III-Sources of Funds'!F7</f>
        <v>0</v>
      </c>
      <c r="G370" s="1683">
        <f>'Part III-Sources of Funds'!G7</f>
        <v>0</v>
      </c>
      <c r="H370" s="1630">
        <f>'Part III-Sources of Funds'!H7</f>
        <v>0</v>
      </c>
      <c r="I370" s="1633" t="s">
        <v>3706</v>
      </c>
      <c r="J370" s="1637"/>
      <c r="K370" s="1637"/>
      <c r="L370" s="1630">
        <f>'Part III-Sources of Funds'!L7</f>
        <v>0</v>
      </c>
      <c r="M370" s="1633" t="s">
        <v>2619</v>
      </c>
      <c r="N370" s="1637"/>
      <c r="O370" s="1637"/>
      <c r="P370" s="1637"/>
      <c r="Q370" s="1637"/>
    </row>
    <row r="371" spans="1:17" ht="13.5">
      <c r="A371" s="1623"/>
      <c r="B371" s="1630">
        <f>'Part III-Sources of Funds'!B8</f>
        <v>0</v>
      </c>
      <c r="C371" s="1633" t="s">
        <v>1816</v>
      </c>
      <c r="D371" s="1625"/>
      <c r="E371" s="1637"/>
      <c r="F371" s="1637"/>
      <c r="G371" s="1637"/>
      <c r="H371" s="1630">
        <f>'Part III-Sources of Funds'!H8</f>
        <v>0</v>
      </c>
      <c r="I371" s="1625" t="s">
        <v>2627</v>
      </c>
      <c r="J371" s="1637"/>
      <c r="K371" s="1637"/>
      <c r="L371" s="1630">
        <f>'Part III-Sources of Funds'!L8</f>
        <v>0</v>
      </c>
      <c r="M371" s="1633" t="s">
        <v>3711</v>
      </c>
      <c r="N371" s="1637"/>
      <c r="O371" s="1637"/>
      <c r="P371" s="1637"/>
      <c r="Q371" s="1637"/>
    </row>
    <row r="372" spans="1:17" ht="13.5">
      <c r="A372" s="1623"/>
      <c r="B372" s="1630">
        <f>'Part III-Sources of Funds'!B9</f>
        <v>0</v>
      </c>
      <c r="C372" s="1633" t="s">
        <v>556</v>
      </c>
      <c r="D372" s="1637"/>
      <c r="E372" s="1637"/>
      <c r="F372" s="1637"/>
      <c r="G372" s="1637"/>
      <c r="H372" s="1630">
        <f>'Part III-Sources of Funds'!H9</f>
        <v>0</v>
      </c>
      <c r="I372" s="1625" t="s">
        <v>2625</v>
      </c>
      <c r="J372" s="1637"/>
      <c r="K372" s="1637"/>
      <c r="L372" s="1630">
        <f>'Part III-Sources of Funds'!L9</f>
        <v>0</v>
      </c>
      <c r="M372" s="1633" t="s">
        <v>2626</v>
      </c>
      <c r="N372" s="1637"/>
      <c r="O372" s="1637"/>
      <c r="P372" s="1637"/>
      <c r="Q372" s="1637"/>
    </row>
    <row r="373" spans="1:17" ht="13.5">
      <c r="A373" s="1623"/>
      <c r="B373" s="1630">
        <f>'Part III-Sources of Funds'!B10</f>
        <v>0</v>
      </c>
      <c r="C373" s="1633" t="s">
        <v>3917</v>
      </c>
      <c r="D373" s="1637"/>
      <c r="E373" s="1637"/>
      <c r="F373" s="1637"/>
      <c r="G373" s="1714"/>
      <c r="H373" s="1630">
        <f>'Part III-Sources of Funds'!H10</f>
        <v>0</v>
      </c>
      <c r="I373" s="1625" t="s">
        <v>3746</v>
      </c>
      <c r="J373" s="1621"/>
      <c r="K373" s="1621"/>
      <c r="L373" s="1630">
        <f>'Part III-Sources of Funds'!L10</f>
        <v>0</v>
      </c>
      <c r="M373" s="1633" t="s">
        <v>3748</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Yes</v>
      </c>
      <c r="C374" s="1633" t="s">
        <v>4734</v>
      </c>
      <c r="D374" s="1625"/>
      <c r="E374" s="1715">
        <f>'Part III-Sources of Funds'!E11</f>
        <v>2000000</v>
      </c>
      <c r="F374" s="1716">
        <f>'Part III-Sources of Funds'!F11</f>
        <v>0</v>
      </c>
      <c r="G374" s="1637"/>
      <c r="H374" s="1630">
        <f>'Part III-Sources of Funds'!H11</f>
        <v>0</v>
      </c>
      <c r="I374" s="1625" t="s">
        <v>3751</v>
      </c>
      <c r="J374" s="1637"/>
      <c r="K374" s="1637"/>
      <c r="L374" s="1630">
        <f>'Part III-Sources of Funds'!L11</f>
        <v>0</v>
      </c>
      <c r="M374" s="1625" t="s">
        <v>3645</v>
      </c>
      <c r="N374" s="1637"/>
      <c r="O374" s="1637"/>
      <c r="P374" s="1637"/>
      <c r="Q374" s="1637"/>
    </row>
    <row r="375" spans="1:17" ht="13.5">
      <c r="A375" s="1623"/>
      <c r="B375" s="1630">
        <f>'Part III-Sources of Funds'!B12</f>
        <v>0</v>
      </c>
      <c r="C375" s="1633" t="s">
        <v>4735</v>
      </c>
      <c r="D375" s="1637"/>
      <c r="E375" s="1715">
        <f>'Part III-Sources of Funds'!E12</f>
        <v>0</v>
      </c>
      <c r="F375" s="1716">
        <f>'Part III-Sources of Funds'!F12</f>
        <v>0</v>
      </c>
      <c r="G375" s="1637"/>
      <c r="H375" s="1630">
        <f>'Part III-Sources of Funds'!H12</f>
        <v>0</v>
      </c>
      <c r="I375" s="1687" t="s">
        <v>2814</v>
      </c>
      <c r="J375" s="1687"/>
      <c r="K375" s="1687"/>
      <c r="L375" s="1630" t="str">
        <f>'Part III-Sources of Funds'!L12</f>
        <v>Yes</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3747</v>
      </c>
      <c r="D376" s="1637"/>
      <c r="E376" s="1637" t="str">
        <f>'Part III-Sources of Funds'!E13</f>
        <v>Specify Other HOME Source here</v>
      </c>
      <c r="F376" s="1637">
        <f>'Part III-Sources of Funds'!F13</f>
        <v>0</v>
      </c>
      <c r="G376" s="1637">
        <f>'Part III-Sources of Funds'!G13</f>
        <v>0</v>
      </c>
      <c r="H376" s="1630">
        <f>'Part III-Sources of Funds'!H13</f>
        <v>0</v>
      </c>
      <c r="I376" s="1633" t="s">
        <v>3918</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3712</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2361</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1885</v>
      </c>
      <c r="C381" s="1625"/>
      <c r="D381" s="1625"/>
      <c r="E381" s="1625"/>
      <c r="F381" s="1625"/>
      <c r="G381" s="1625"/>
      <c r="H381" s="1625" t="s">
        <v>1309</v>
      </c>
      <c r="I381" s="1625"/>
      <c r="J381" s="1625"/>
      <c r="K381" s="1625"/>
      <c r="L381" s="1625" t="s">
        <v>2006</v>
      </c>
      <c r="M381" s="1625"/>
      <c r="N381" s="1625" t="s">
        <v>1519</v>
      </c>
      <c r="O381" s="1625"/>
      <c r="P381" s="1625" t="s">
        <v>1643</v>
      </c>
      <c r="Q381" s="1625"/>
    </row>
    <row r="382" spans="1:17">
      <c r="A382" s="1625"/>
      <c r="B382" s="1625" t="s">
        <v>1603</v>
      </c>
      <c r="C382" s="1625"/>
      <c r="D382" s="1625"/>
      <c r="E382" s="1625"/>
      <c r="F382" s="1625"/>
      <c r="G382" s="1625"/>
      <c r="H382" s="1704" t="str">
        <f>'Part III-Sources of Funds'!H19</f>
        <v>DCA HOME Loan</v>
      </c>
      <c r="I382" s="1704">
        <f>'Part III-Sources of Funds'!I19</f>
        <v>0</v>
      </c>
      <c r="J382" s="1704">
        <f>'Part III-Sources of Funds'!J19</f>
        <v>0</v>
      </c>
      <c r="K382" s="1704">
        <f>'Part III-Sources of Funds'!K19</f>
        <v>0</v>
      </c>
      <c r="L382" s="1640">
        <f>'Part III-Sources of Funds'!L19</f>
        <v>2000000</v>
      </c>
      <c r="M382" s="1640">
        <f>'Part III-Sources of Funds'!M19</f>
        <v>0</v>
      </c>
      <c r="N382" s="1717">
        <f>'Part III-Sources of Funds'!N19</f>
        <v>0</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2231</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25.5">
      <c r="A388" s="1625"/>
      <c r="B388" s="1625" t="s">
        <v>810</v>
      </c>
      <c r="C388" s="1625"/>
      <c r="D388" s="1625"/>
      <c r="E388" s="1625"/>
      <c r="F388" s="1637"/>
      <c r="G388" s="1637"/>
      <c r="H388" s="1704" t="str">
        <f>'Part III-Sources of Funds'!H25</f>
        <v>SunTrust Community Capital</v>
      </c>
      <c r="I388" s="1704">
        <f>'Part III-Sources of Funds'!I25</f>
        <v>0</v>
      </c>
      <c r="J388" s="1704">
        <f>'Part III-Sources of Funds'!J25</f>
        <v>0</v>
      </c>
      <c r="K388" s="1704">
        <f>'Part III-Sources of Funds'!K25</f>
        <v>0</v>
      </c>
      <c r="L388" s="1640">
        <f>'Part III-Sources of Funds'!L25</f>
        <v>6948480</v>
      </c>
      <c r="M388" s="1640">
        <f>'Part III-Sources of Funds'!M25</f>
        <v>0</v>
      </c>
      <c r="N388" s="1625"/>
      <c r="O388" s="1625"/>
      <c r="P388" s="1625"/>
      <c r="Q388" s="1625"/>
    </row>
    <row r="389" spans="1:17" ht="25.5">
      <c r="A389" s="1625"/>
      <c r="B389" s="1625" t="s">
        <v>811</v>
      </c>
      <c r="C389" s="1625"/>
      <c r="D389" s="1625"/>
      <c r="E389" s="1625"/>
      <c r="F389" s="1637"/>
      <c r="G389" s="1637"/>
      <c r="H389" s="1704" t="str">
        <f>'Part III-Sources of Funds'!H26</f>
        <v>SunTrust Community Capital</v>
      </c>
      <c r="I389" s="1704">
        <f>'Part III-Sources of Funds'!I26</f>
        <v>0</v>
      </c>
      <c r="J389" s="1704">
        <f>'Part III-Sources of Funds'!J26</f>
        <v>0</v>
      </c>
      <c r="K389" s="1704">
        <f>'Part III-Sources of Funds'!K26</f>
        <v>0</v>
      </c>
      <c r="L389" s="1640">
        <f>'Part III-Sources of Funds'!L26</f>
        <v>4263840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13212320</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13212320</v>
      </c>
      <c r="M394" s="1719">
        <f>'Part III-Sources of Funds'!M31</f>
        <v>0</v>
      </c>
      <c r="N394" s="1639"/>
      <c r="O394" s="1637"/>
      <c r="P394" s="1637"/>
      <c r="Q394" s="1637"/>
    </row>
    <row r="395" spans="1:17" ht="13.5">
      <c r="A395" s="1625"/>
      <c r="B395" s="1633" t="s">
        <v>2173</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2115</v>
      </c>
      <c r="L398" s="1630" t="s">
        <v>1307</v>
      </c>
      <c r="M398" s="1630" t="s">
        <v>1312</v>
      </c>
      <c r="N398" s="1639" t="s">
        <v>35</v>
      </c>
      <c r="O398" s="1639"/>
      <c r="P398" s="1630"/>
      <c r="Q398" s="1622"/>
    </row>
    <row r="399" spans="1:17">
      <c r="A399" s="1625"/>
      <c r="B399" s="1633" t="s">
        <v>1885</v>
      </c>
      <c r="C399" s="1625"/>
      <c r="D399" s="1625"/>
      <c r="E399" s="1625" t="s">
        <v>1309</v>
      </c>
      <c r="F399" s="1625"/>
      <c r="G399" s="1625"/>
      <c r="H399" s="1625"/>
      <c r="I399" s="1625" t="s">
        <v>493</v>
      </c>
      <c r="J399" s="1625"/>
      <c r="K399" s="1630" t="s">
        <v>1819</v>
      </c>
      <c r="L399" s="1630" t="s">
        <v>2230</v>
      </c>
      <c r="M399" s="1630" t="s">
        <v>2230</v>
      </c>
      <c r="N399" s="1639"/>
      <c r="O399" s="1639"/>
      <c r="P399" s="1625" t="s">
        <v>75</v>
      </c>
      <c r="Q399" s="1625"/>
    </row>
    <row r="400" spans="1:17" ht="25.5">
      <c r="A400" s="1625"/>
      <c r="B400" s="1625" t="s">
        <v>2631</v>
      </c>
      <c r="C400" s="1625"/>
      <c r="D400" s="1625"/>
      <c r="E400" s="1704" t="str">
        <f>'Part III-Sources of Funds'!E37</f>
        <v>DCA HOME Loan</v>
      </c>
      <c r="F400" s="1704">
        <f>'Part III-Sources of Funds'!F37</f>
        <v>0</v>
      </c>
      <c r="G400" s="1704">
        <f>'Part III-Sources of Funds'!G37</f>
        <v>0</v>
      </c>
      <c r="H400" s="1704">
        <f>'Part III-Sources of Funds'!H37</f>
        <v>0</v>
      </c>
      <c r="I400" s="1661">
        <f>'Part III-Sources of Funds'!I37</f>
        <v>2000000</v>
      </c>
      <c r="J400" s="1625">
        <f>'Part III-Sources of Funds'!J37</f>
        <v>0</v>
      </c>
      <c r="K400" s="1722">
        <f>'Part III-Sources of Funds'!K37</f>
        <v>0.01</v>
      </c>
      <c r="L400" s="1630">
        <f>'Part III-Sources of Funds'!L37</f>
        <v>20</v>
      </c>
      <c r="M400" s="1630">
        <f>'Part III-Sources of Funds'!M37</f>
        <v>20</v>
      </c>
      <c r="N400" s="1723">
        <f>'Part III-Sources of Funds'!N37</f>
        <v>110374.6336698712</v>
      </c>
      <c r="O400" s="1723">
        <f>'Part III-Sources of Funds'!O37</f>
        <v>0</v>
      </c>
      <c r="P400" s="1625" t="str">
        <f>'Part III-Sources of Funds'!P37</f>
        <v>Amortizing</v>
      </c>
      <c r="Q400" s="1625">
        <f>'Part III-Sources of Funds'!Q37</f>
        <v>0</v>
      </c>
    </row>
    <row r="401" spans="1:17">
      <c r="A401" s="1625"/>
      <c r="B401" s="1625" t="s">
        <v>2632</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2633</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2767</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IF(OR(I404&lt;=0,I404=""),"",IF(P404="Amortizing",-PMT(K404/12,M404*12,I404,0,0)*12,""))</f>
        <v/>
      </c>
      <c r="O404" s="1723"/>
      <c r="P404" s="1625"/>
      <c r="Q404" s="1625"/>
    </row>
    <row r="405" spans="1:17" ht="51">
      <c r="A405" s="1625"/>
      <c r="B405" s="1625" t="s">
        <v>230</v>
      </c>
      <c r="C405" s="1625"/>
      <c r="D405" s="1724">
        <f>'Part III-Sources of Funds'!D42</f>
        <v>8.4555555555555556E-4</v>
      </c>
      <c r="E405" s="1704" t="str">
        <f>'Part III-Sources of Funds'!E42</f>
        <v>New Affordable Housing Partners</v>
      </c>
      <c r="F405" s="1704">
        <f>'Part III-Sources of Funds'!F42</f>
        <v>0</v>
      </c>
      <c r="G405" s="1704">
        <f>'Part III-Sources of Funds'!G42</f>
        <v>0</v>
      </c>
      <c r="H405" s="1704">
        <f>'Part III-Sources of Funds'!H42</f>
        <v>0</v>
      </c>
      <c r="I405" s="1661">
        <f>'Part III-Sources of Funds'!I42</f>
        <v>1522</v>
      </c>
      <c r="J405" s="1625">
        <f>'Part III-Sources of Funds'!J42</f>
        <v>0</v>
      </c>
      <c r="K405" s="1722">
        <f>'Part III-Sources of Funds'!K42</f>
        <v>0</v>
      </c>
      <c r="L405" s="1630">
        <f>'Part III-Sources of Funds'!L42</f>
        <v>10</v>
      </c>
      <c r="M405" s="1630">
        <f>'Part III-Sources of Funds'!M42</f>
        <v>10</v>
      </c>
      <c r="N405" s="1723">
        <f>'Part III-Sources of Funds'!N42</f>
        <v>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4236</v>
      </c>
      <c r="C407" s="1625"/>
      <c r="D407" s="1637"/>
      <c r="E407" s="1637" t="s">
        <v>4131</v>
      </c>
      <c r="F407" s="1728">
        <f>'Part III-Sources of Funds'!F44</f>
        <v>785778.99317739904</v>
      </c>
      <c r="G407" s="1637"/>
      <c r="H407" s="1714" t="s">
        <v>4235</v>
      </c>
      <c r="I407" s="1728">
        <f>'Part III-Sources of Funds'!I44</f>
        <v>1522</v>
      </c>
      <c r="J407" s="1637"/>
      <c r="K407" s="1722"/>
      <c r="L407" s="1630"/>
      <c r="M407" s="1630"/>
      <c r="N407" s="1727"/>
      <c r="O407" s="1727"/>
      <c r="P407" s="1630"/>
      <c r="Q407" s="1630"/>
    </row>
    <row r="408" spans="1:17" ht="13.5">
      <c r="A408" s="1625"/>
      <c r="B408" s="1637" t="s">
        <v>4736</v>
      </c>
      <c r="C408" s="1625"/>
      <c r="D408" s="1724"/>
      <c r="E408" s="1637"/>
      <c r="F408" s="1729">
        <f>'Part III-Sources of Funds'!F45</f>
        <v>1.9369313931969548E-3</v>
      </c>
      <c r="G408" s="1729">
        <f>'Part III-Sources of Funds'!G45</f>
        <v>0</v>
      </c>
      <c r="H408" s="1714" t="s">
        <v>4237</v>
      </c>
      <c r="I408" s="1729">
        <f>'Part III-Sources of Funds'!I45</f>
        <v>1.9369313931969548E-3</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2231</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SunTrust Community Capital</v>
      </c>
      <c r="F412" s="1704">
        <f>'Part III-Sources of Funds'!F49</f>
        <v>0</v>
      </c>
      <c r="G412" s="1704">
        <f>'Part III-Sources of Funds'!G49</f>
        <v>0</v>
      </c>
      <c r="H412" s="1704">
        <f>'Part III-Sources of Funds'!H49</f>
        <v>0</v>
      </c>
      <c r="I412" s="1661">
        <f>'Part III-Sources of Funds'!I49</f>
        <v>8272000</v>
      </c>
      <c r="J412" s="1625">
        <f>'Part III-Sources of Funds'!J49</f>
        <v>0</v>
      </c>
      <c r="K412" s="1637"/>
      <c r="L412" s="1732">
        <f>'Part IV-A-Uses of Funds'!$J$175*10*'Part IV-A-Uses of Funds'!$N$168</f>
        <v>8272000</v>
      </c>
      <c r="M412" s="1732"/>
      <c r="N412" s="1733">
        <f>I412-L412</f>
        <v>0</v>
      </c>
      <c r="O412" s="1733"/>
      <c r="P412" s="1734" t="s">
        <v>2577</v>
      </c>
      <c r="Q412" s="1625"/>
    </row>
    <row r="413" spans="1:17" ht="38.25">
      <c r="A413" s="1625"/>
      <c r="B413" s="1625" t="s">
        <v>811</v>
      </c>
      <c r="C413" s="1625"/>
      <c r="D413" s="1625"/>
      <c r="E413" s="1704" t="str">
        <f>'Part III-Sources of Funds'!E50</f>
        <v>SunTrust Community Capital</v>
      </c>
      <c r="F413" s="1704">
        <f>'Part III-Sources of Funds'!F50</f>
        <v>0</v>
      </c>
      <c r="G413" s="1704">
        <f>'Part III-Sources of Funds'!G50</f>
        <v>0</v>
      </c>
      <c r="H413" s="1704">
        <f>'Part III-Sources of Funds'!H50</f>
        <v>0</v>
      </c>
      <c r="I413" s="1661">
        <f>'Part III-Sources of Funds'!I50</f>
        <v>5076000</v>
      </c>
      <c r="J413" s="1625">
        <f>'Part III-Sources of Funds'!J50</f>
        <v>0</v>
      </c>
      <c r="K413" s="1637"/>
      <c r="L413" s="1732">
        <f>'Part IV-A-Uses of Funds'!$J$175*10*'Part IV-A-Uses of Funds'!$Q$168</f>
        <v>5076000</v>
      </c>
      <c r="M413" s="1732"/>
      <c r="N413" s="1733">
        <f>I413-L413</f>
        <v>0</v>
      </c>
      <c r="O413" s="1733"/>
      <c r="P413" s="1735">
        <f>I412/I422</f>
        <v>0.53890928981371533</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0.33069433693114353</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0.8696036267448588</v>
      </c>
      <c r="Q415" s="1625"/>
    </row>
    <row r="416" spans="1:17" ht="13.5">
      <c r="A416" s="1625"/>
      <c r="B416" s="1625" t="s">
        <v>1883</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1884</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2232</v>
      </c>
      <c r="C421" s="1625"/>
      <c r="D421" s="1625"/>
      <c r="E421" s="1625"/>
      <c r="F421" s="1625"/>
      <c r="G421" s="1625"/>
      <c r="H421" s="1637"/>
      <c r="I421" s="1719">
        <f>SUM(I400:J405)+SUM(I410:J420)</f>
        <v>15349522</v>
      </c>
      <c r="J421" s="1719"/>
      <c r="K421" s="1625"/>
      <c r="L421" s="1630"/>
      <c r="M421" s="1704"/>
      <c r="N421" s="1704"/>
      <c r="O421" s="1704"/>
      <c r="P421" s="1704"/>
      <c r="Q421" s="1625"/>
    </row>
    <row r="422" spans="1:17" ht="13.5">
      <c r="A422" s="1625"/>
      <c r="B422" s="1633" t="s">
        <v>2233</v>
      </c>
      <c r="C422" s="1625"/>
      <c r="D422" s="1625"/>
      <c r="E422" s="1625"/>
      <c r="F422" s="1625"/>
      <c r="G422" s="1625"/>
      <c r="H422" s="1637"/>
      <c r="I422" s="1719">
        <f>'Part IV-A-Uses of Funds'!$G$132</f>
        <v>15349522</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3491</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2018-017 Heritage Village at West Lake,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2018-017 Heritage Village at West Lake,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2700</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2016</v>
      </c>
      <c r="C444" s="1625"/>
      <c r="D444" s="1625"/>
      <c r="E444" s="1625"/>
      <c r="F444" s="1625"/>
      <c r="G444" s="1640">
        <f>'Part IV-A-Uses of Funds'!G8</f>
        <v>10000</v>
      </c>
      <c r="H444" s="1640">
        <f>'Part IV-A-Uses of Funds'!H8</f>
        <v>0</v>
      </c>
      <c r="I444" s="1625"/>
      <c r="J444" s="1640">
        <f>'Part IV-A-Uses of Funds'!J8</f>
        <v>0</v>
      </c>
      <c r="K444" s="1640">
        <f>'Part IV-A-Uses of Funds'!K8</f>
        <v>0</v>
      </c>
      <c r="L444" s="1655"/>
      <c r="M444" s="1640">
        <f>'Part IV-A-Uses of Funds'!M8</f>
        <v>0</v>
      </c>
      <c r="N444" s="1640">
        <f>'Part IV-A-Uses of Funds'!N8</f>
        <v>0</v>
      </c>
      <c r="O444" s="1625"/>
      <c r="P444" s="1640">
        <f>'Part IV-A-Uses of Funds'!P8</f>
        <v>10000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10000</v>
      </c>
      <c r="H445" s="1640">
        <f>'Part IV-A-Uses of Funds'!H9</f>
        <v>0</v>
      </c>
      <c r="I445" s="1625"/>
      <c r="J445" s="1640">
        <f>'Part IV-A-Uses of Funds'!J9</f>
        <v>0</v>
      </c>
      <c r="K445" s="1640">
        <f>'Part IV-A-Uses of Funds'!K9</f>
        <v>0</v>
      </c>
      <c r="L445" s="1655"/>
      <c r="M445" s="1640">
        <f>'Part IV-A-Uses of Funds'!M9</f>
        <v>0</v>
      </c>
      <c r="N445" s="1640">
        <f>'Part IV-A-Uses of Funds'!N9</f>
        <v>0</v>
      </c>
      <c r="O445" s="1625"/>
      <c r="P445" s="1640">
        <f>'Part IV-A-Uses of Funds'!P9</f>
        <v>10000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30000</v>
      </c>
      <c r="H446" s="1640">
        <f>'Part IV-A-Uses of Funds'!H10</f>
        <v>0</v>
      </c>
      <c r="I446" s="1625"/>
      <c r="J446" s="1640">
        <f>'Part IV-A-Uses of Funds'!J10</f>
        <v>0</v>
      </c>
      <c r="K446" s="1640">
        <f>'Part IV-A-Uses of Funds'!K10</f>
        <v>0</v>
      </c>
      <c r="L446" s="1655"/>
      <c r="M446" s="1640">
        <f>'Part IV-A-Uses of Funds'!M10</f>
        <v>0</v>
      </c>
      <c r="N446" s="1640">
        <f>'Part IV-A-Uses of Funds'!N10</f>
        <v>0</v>
      </c>
      <c r="O446" s="1625"/>
      <c r="P446" s="1640">
        <f>'Part IV-A-Uses of Funds'!P10</f>
        <v>30000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15000</v>
      </c>
      <c r="H447" s="1640">
        <f>'Part IV-A-Uses of Funds'!H11</f>
        <v>0</v>
      </c>
      <c r="I447" s="1625"/>
      <c r="J447" s="1640">
        <f>'Part IV-A-Uses of Funds'!J11</f>
        <v>0</v>
      </c>
      <c r="K447" s="1640">
        <f>'Part IV-A-Uses of Funds'!K11</f>
        <v>0</v>
      </c>
      <c r="L447" s="1655"/>
      <c r="M447" s="1640">
        <f>'Part IV-A-Uses of Funds'!M11</f>
        <v>0</v>
      </c>
      <c r="N447" s="1640">
        <f>'Part IV-A-Uses of Funds'!N11</f>
        <v>0</v>
      </c>
      <c r="O447" s="1625"/>
      <c r="P447" s="1640">
        <f>'Part IV-A-Uses of Funds'!P11</f>
        <v>15000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2516</v>
      </c>
      <c r="C448" s="1625"/>
      <c r="D448" s="1625"/>
      <c r="E448" s="1625"/>
      <c r="F448" s="1625"/>
      <c r="G448" s="1640">
        <f>'Part IV-A-Uses of Funds'!G12</f>
        <v>35000</v>
      </c>
      <c r="H448" s="1640">
        <f>'Part IV-A-Uses of Funds'!H12</f>
        <v>0</v>
      </c>
      <c r="I448" s="1625"/>
      <c r="J448" s="1640">
        <f>'Part IV-A-Uses of Funds'!J12</f>
        <v>0</v>
      </c>
      <c r="K448" s="1640">
        <f>'Part IV-A-Uses of Funds'!K12</f>
        <v>0</v>
      </c>
      <c r="L448" s="1655"/>
      <c r="M448" s="1640">
        <f>'Part IV-A-Uses of Funds'!M12</f>
        <v>0</v>
      </c>
      <c r="N448" s="1640">
        <f>'Part IV-A-Uses of Funds'!N12</f>
        <v>0</v>
      </c>
      <c r="O448" s="1625"/>
      <c r="P448" s="1640">
        <f>'Part IV-A-Uses of Funds'!P12</f>
        <v>35000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15000</v>
      </c>
      <c r="H449" s="1640">
        <f>'Part IV-A-Uses of Funds'!H13</f>
        <v>0</v>
      </c>
      <c r="I449" s="1625"/>
      <c r="J449" s="1640">
        <f>'Part IV-A-Uses of Funds'!J13</f>
        <v>0</v>
      </c>
      <c r="K449" s="1640">
        <f>'Part IV-A-Uses of Funds'!K13</f>
        <v>0</v>
      </c>
      <c r="L449" s="1655"/>
      <c r="M449" s="1640">
        <f>'Part IV-A-Uses of Funds'!M13</f>
        <v>0</v>
      </c>
      <c r="N449" s="1640">
        <f>'Part IV-A-Uses of Funds'!N13</f>
        <v>0</v>
      </c>
      <c r="O449" s="1625"/>
      <c r="P449" s="1640">
        <f>'Part IV-A-Uses of Funds'!P13</f>
        <v>15000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115000</v>
      </c>
      <c r="H453" s="1640"/>
      <c r="I453" s="1625"/>
      <c r="J453" s="1640">
        <f>SUM(J444:K452)</f>
        <v>0</v>
      </c>
      <c r="K453" s="1656"/>
      <c r="L453" s="1655"/>
      <c r="M453" s="1640">
        <f>SUM(M444:N452)</f>
        <v>0</v>
      </c>
      <c r="N453" s="1640"/>
      <c r="O453" s="1625"/>
      <c r="P453" s="1640">
        <f>SUM(P444:Q452)</f>
        <v>115000</v>
      </c>
      <c r="Q453" s="1640"/>
      <c r="R453" s="1625"/>
      <c r="S453" s="1640">
        <f>SUM(S444:T452)</f>
        <v>0</v>
      </c>
      <c r="T453" s="1640"/>
      <c r="U453" s="1625"/>
      <c r="V453" s="1739">
        <f>SUM(V444:V452)</f>
        <v>0</v>
      </c>
      <c r="W453" s="1329"/>
      <c r="X453" s="1329"/>
    </row>
    <row r="454" spans="1:24">
      <c r="A454" s="1625"/>
      <c r="B454" s="1622" t="s">
        <v>2213</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2214</v>
      </c>
      <c r="C455" s="1625"/>
      <c r="D455" s="1625"/>
      <c r="E455" s="1625"/>
      <c r="F455" s="1625"/>
      <c r="G455" s="1640">
        <f>'Part IV-A-Uses of Funds'!G19</f>
        <v>325000</v>
      </c>
      <c r="H455" s="1640">
        <f>'Part IV-A-Uses of Funds'!H19</f>
        <v>0</v>
      </c>
      <c r="I455" s="1625"/>
      <c r="J455" s="1655"/>
      <c r="K455" s="1640"/>
      <c r="L455" s="1655"/>
      <c r="M455" s="1655"/>
      <c r="N455" s="1640"/>
      <c r="O455" s="1625"/>
      <c r="P455" s="1655"/>
      <c r="Q455" s="1640"/>
      <c r="R455" s="1625"/>
      <c r="S455" s="1640">
        <f>'Part IV-A-Uses of Funds'!S19</f>
        <v>325000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2750000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2750000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3075000</v>
      </c>
      <c r="H459" s="1640"/>
      <c r="I459" s="1625"/>
      <c r="J459" s="1655"/>
      <c r="K459" s="1640"/>
      <c r="L459" s="1655"/>
      <c r="M459" s="1640">
        <f>SUM(M457:N458)</f>
        <v>0</v>
      </c>
      <c r="N459" s="1640"/>
      <c r="O459" s="1625"/>
      <c r="P459" s="1655"/>
      <c r="Q459" s="1640"/>
      <c r="R459" s="1625"/>
      <c r="S459" s="1640">
        <f>SUM(S455:T458)</f>
        <v>3075000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3754</v>
      </c>
      <c r="F461" s="1691">
        <f>IF('Part I-Project Information'!$O$37="","",G461/'Part I-Project Information'!$O$37)</f>
        <v>203674.83660130718</v>
      </c>
      <c r="G461" s="1640">
        <f>'Part IV-A-Uses of Funds'!G25</f>
        <v>623245</v>
      </c>
      <c r="H461" s="1640">
        <f>'Part IV-A-Uses of Funds'!H25</f>
        <v>0</v>
      </c>
      <c r="I461" s="1625"/>
      <c r="J461" s="1640">
        <f>'Part IV-A-Uses of Funds'!J25</f>
        <v>0</v>
      </c>
      <c r="K461" s="1640">
        <f>'Part IV-A-Uses of Funds'!K25</f>
        <v>0</v>
      </c>
      <c r="L461" s="1655"/>
      <c r="M461" s="1640">
        <f>'Part IV-A-Uses of Funds'!M25</f>
        <v>0</v>
      </c>
      <c r="N461" s="1640">
        <f>'Part IV-A-Uses of Funds'!N25</f>
        <v>0</v>
      </c>
      <c r="O461" s="1625"/>
      <c r="P461" s="1640">
        <f>'Part IV-A-Uses of Funds'!P25</f>
        <v>423245</v>
      </c>
      <c r="Q461" s="1640">
        <f>'Part IV-A-Uses of Funds'!Q25</f>
        <v>0</v>
      </c>
      <c r="R461" s="1625"/>
      <c r="S461" s="1640">
        <f>'Part IV-A-Uses of Funds'!S25</f>
        <v>200000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623245</v>
      </c>
      <c r="H463" s="1640"/>
      <c r="I463" s="1625"/>
      <c r="J463" s="1640">
        <f>SUM(J461:K462)</f>
        <v>0</v>
      </c>
      <c r="K463" s="1640"/>
      <c r="L463" s="1655"/>
      <c r="M463" s="1640">
        <f>M461</f>
        <v>0</v>
      </c>
      <c r="N463" s="1640"/>
      <c r="O463" s="1625"/>
      <c r="P463" s="1640">
        <f>P461</f>
        <v>423245</v>
      </c>
      <c r="Q463" s="1640"/>
      <c r="R463" s="1625"/>
      <c r="S463" s="1640">
        <f>SUM(S461:T462)</f>
        <v>200000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6406349</v>
      </c>
      <c r="H465" s="1640">
        <f>'Part IV-A-Uses of Funds'!H29</f>
        <v>0</v>
      </c>
      <c r="I465" s="1625"/>
      <c r="J465" s="1640">
        <f>'Part IV-A-Uses of Funds'!J29</f>
        <v>0</v>
      </c>
      <c r="K465" s="1640">
        <f>'Part IV-A-Uses of Funds'!K29</f>
        <v>0</v>
      </c>
      <c r="L465" s="1655"/>
      <c r="M465" s="1640">
        <f>'Part IV-A-Uses of Funds'!M29</f>
        <v>0</v>
      </c>
      <c r="N465" s="1640">
        <f>'Part IV-A-Uses of Funds'!N29</f>
        <v>0</v>
      </c>
      <c r="O465" s="1625"/>
      <c r="P465" s="1640">
        <f>'Part IV-A-Uses of Funds'!P29</f>
        <v>6406349</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2798</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2797</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6406349</v>
      </c>
      <c r="H469" s="1640"/>
      <c r="I469" s="1625"/>
      <c r="J469" s="1640">
        <f>SUM(J465:K468)</f>
        <v>0</v>
      </c>
      <c r="K469" s="1640"/>
      <c r="L469" s="1655"/>
      <c r="M469" s="1640">
        <f>SUM(M465:N468)</f>
        <v>0</v>
      </c>
      <c r="N469" s="1640"/>
      <c r="O469" s="1625"/>
      <c r="P469" s="1640">
        <f>SUM(P465:Q468)</f>
        <v>6406349</v>
      </c>
      <c r="Q469" s="1640"/>
      <c r="R469" s="1625"/>
      <c r="S469" s="1640">
        <f>SUM(S465:T468)</f>
        <v>0</v>
      </c>
      <c r="T469" s="1640"/>
      <c r="U469" s="1625"/>
      <c r="V469" s="1739">
        <f>SUM(V465:V468)</f>
        <v>0</v>
      </c>
      <c r="W469" s="1329"/>
      <c r="X469" s="1329"/>
    </row>
    <row r="470" spans="1:24" ht="13.5">
      <c r="A470" s="1625"/>
      <c r="B470" s="1622" t="s">
        <v>2359</v>
      </c>
      <c r="C470" s="1625"/>
      <c r="D470" s="1695" t="s">
        <v>3758</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2360</v>
      </c>
      <c r="C471" s="1625"/>
      <c r="D471" s="1749">
        <f>'DCA Underwriting Assumptions'!$R$74</f>
        <v>0.06</v>
      </c>
      <c r="E471" s="1750">
        <f>D471*(G463+G469)</f>
        <v>421775.63999999996</v>
      </c>
      <c r="F471" s="1749" t="e">
        <f>IF(($G$27+$G$33)=0,0,G471/($G$27+$G$33))</f>
        <v>#VALUE!</v>
      </c>
      <c r="G471" s="1640">
        <f>'Part IV-A-Uses of Funds'!G35</f>
        <v>420000</v>
      </c>
      <c r="H471" s="1640">
        <f>'Part IV-A-Uses of Funds'!H35</f>
        <v>0</v>
      </c>
      <c r="I471" s="1632"/>
      <c r="J471" s="1640">
        <f>'Part IV-A-Uses of Funds'!J35</f>
        <v>0</v>
      </c>
      <c r="K471" s="1640">
        <f>'Part IV-A-Uses of Funds'!K35</f>
        <v>0</v>
      </c>
      <c r="L471" s="1655"/>
      <c r="M471" s="1640">
        <f>'Part IV-A-Uses of Funds'!M35</f>
        <v>0</v>
      </c>
      <c r="N471" s="1640">
        <f>'Part IV-A-Uses of Funds'!N35</f>
        <v>0</v>
      </c>
      <c r="O471" s="1625"/>
      <c r="P471" s="1640">
        <f>'Part IV-A-Uses of Funds'!P35</f>
        <v>420000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2754</v>
      </c>
      <c r="C472" s="1625"/>
      <c r="D472" s="1749">
        <f>'DCA Underwriting Assumptions'!$R$75</f>
        <v>0.02</v>
      </c>
      <c r="E472" s="1750">
        <f>D472*(G463+G469)</f>
        <v>140591.88</v>
      </c>
      <c r="F472" s="1749" t="e">
        <f>IF(($G$27+$G$33)=0,0,G472/($G$27+$G$33))</f>
        <v>#VALUE!</v>
      </c>
      <c r="G472" s="1640">
        <f>'Part IV-A-Uses of Funds'!G36</f>
        <v>140000</v>
      </c>
      <c r="H472" s="1640">
        <f>'Part IV-A-Uses of Funds'!H36</f>
        <v>0</v>
      </c>
      <c r="I472" s="1632"/>
      <c r="J472" s="1640">
        <f>'Part IV-A-Uses of Funds'!J36</f>
        <v>0</v>
      </c>
      <c r="K472" s="1640">
        <f>'Part IV-A-Uses of Funds'!K36</f>
        <v>0</v>
      </c>
      <c r="L472" s="1655"/>
      <c r="M472" s="1640">
        <f>'Part IV-A-Uses of Funds'!M36</f>
        <v>0</v>
      </c>
      <c r="N472" s="1640">
        <f>'Part IV-A-Uses of Funds'!N36</f>
        <v>0</v>
      </c>
      <c r="O472" s="1625"/>
      <c r="P472" s="1640">
        <f>'Part IV-A-Uses of Funds'!P36</f>
        <v>140000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2755</v>
      </c>
      <c r="C473" s="1625"/>
      <c r="D473" s="1749">
        <f>'DCA Underwriting Assumptions'!$R$76</f>
        <v>0.06</v>
      </c>
      <c r="E473" s="1750">
        <f>D473*(G463+G469)</f>
        <v>421775.63999999996</v>
      </c>
      <c r="F473" s="1749" t="e">
        <f>IF(($G$27+$G$33)=0,0,G473/($G$27+$G$33))</f>
        <v>#VALUE!</v>
      </c>
      <c r="G473" s="1640">
        <f>'Part IV-A-Uses of Funds'!G37</f>
        <v>420000</v>
      </c>
      <c r="H473" s="1640">
        <f>'Part IV-A-Uses of Funds'!H37</f>
        <v>0</v>
      </c>
      <c r="I473" s="1632"/>
      <c r="J473" s="1640">
        <f>'Part IV-A-Uses of Funds'!J37</f>
        <v>0</v>
      </c>
      <c r="K473" s="1640">
        <f>'Part IV-A-Uses of Funds'!K37</f>
        <v>0</v>
      </c>
      <c r="L473" s="1655"/>
      <c r="M473" s="1640">
        <f>'Part IV-A-Uses of Funds'!M37</f>
        <v>0</v>
      </c>
      <c r="N473" s="1640">
        <f>'Part IV-A-Uses of Funds'!N37</f>
        <v>0</v>
      </c>
      <c r="O473" s="1625"/>
      <c r="P473" s="1640">
        <f>'Part IV-A-Uses of Funds'!P37</f>
        <v>420000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3759</v>
      </c>
      <c r="C474" s="1625"/>
      <c r="D474" s="1747">
        <f>SUM(D471:D473)</f>
        <v>0.14000000000000001</v>
      </c>
      <c r="E474" s="1751">
        <f>SUM(E471:E473)</f>
        <v>984143.15999999992</v>
      </c>
      <c r="F474" s="1742" t="s">
        <v>193</v>
      </c>
      <c r="G474" s="1640">
        <f>SUM(G471:H473)</f>
        <v>980000</v>
      </c>
      <c r="H474" s="1640"/>
      <c r="I474" s="1625"/>
      <c r="J474" s="1640">
        <f>SUM(J471:K473)</f>
        <v>0</v>
      </c>
      <c r="K474" s="1640"/>
      <c r="L474" s="1655"/>
      <c r="M474" s="1640">
        <f>SUM(M471:N473)</f>
        <v>0</v>
      </c>
      <c r="N474" s="1640"/>
      <c r="O474" s="1625"/>
      <c r="P474" s="1640">
        <f>SUM(P471:Q473)</f>
        <v>980000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4737</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4738</v>
      </c>
      <c r="C479" s="1754"/>
      <c r="D479" s="1625"/>
      <c r="E479" s="1624" t="s">
        <v>2762</v>
      </c>
      <c r="F479" s="1755">
        <f>B480/'Part VI-Revenues &amp; Expenses'!$O$60</f>
        <v>65118.650406504064</v>
      </c>
      <c r="G479" s="1756" t="s">
        <v>4739</v>
      </c>
      <c r="H479" s="1625"/>
      <c r="I479" s="1625"/>
      <c r="J479" s="1757">
        <f>B480/'Part VI-Revenues &amp; Expenses'!$O$62</f>
        <v>65118.650406504064</v>
      </c>
      <c r="K479" s="1757"/>
      <c r="L479" s="1625"/>
      <c r="M479" s="1758" t="s">
        <v>1414</v>
      </c>
      <c r="N479" s="1758"/>
      <c r="O479" s="1625"/>
      <c r="P479" s="1757">
        <f>B480/'Part I-Project Information'!$P$71</f>
        <v>96.980191306453563</v>
      </c>
      <c r="Q479" s="1757"/>
      <c r="R479" s="1625"/>
      <c r="S479" s="1664" t="s">
        <v>2796</v>
      </c>
      <c r="T479" s="1664"/>
      <c r="U479" s="1625"/>
      <c r="V479" s="1739"/>
      <c r="W479" s="1329">
        <f>'Part IV-A-Uses of Funds'!W43</f>
        <v>0</v>
      </c>
      <c r="X479" s="1329">
        <f>'Part IV-A-Uses of Funds'!X43</f>
        <v>0</v>
      </c>
    </row>
    <row r="480" spans="1:24">
      <c r="A480" s="1625"/>
      <c r="B480" s="1759">
        <f>G463+G469+G474+G477</f>
        <v>8009594</v>
      </c>
      <c r="C480" s="1759"/>
      <c r="D480" s="1625"/>
      <c r="E480" s="1624"/>
      <c r="F480" s="1755">
        <f>B480/'Part VI-Revenues &amp; Expenses'!$O$117</f>
        <v>109.60035577449371</v>
      </c>
      <c r="G480" s="1664" t="s">
        <v>4740</v>
      </c>
      <c r="H480" s="1625"/>
      <c r="I480" s="1625"/>
      <c r="J480" s="1757">
        <f>B480/'Part VI-Revenues &amp; Expenses'!$O$119</f>
        <v>109.60035577449371</v>
      </c>
      <c r="K480" s="1757"/>
      <c r="L480" s="1625"/>
      <c r="M480" s="1664" t="s">
        <v>2795</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4241</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1977</v>
      </c>
      <c r="C483" s="1632"/>
      <c r="D483" s="1761" t="s">
        <v>4240</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800959.4</v>
      </c>
      <c r="F483" s="1763">
        <f>G483/B480</f>
        <v>6.8268129445762174E-2</v>
      </c>
      <c r="G483" s="1640">
        <f>'Part IV-A-Uses of Funds'!G47</f>
        <v>546800</v>
      </c>
      <c r="H483" s="1640">
        <f>'Part IV-A-Uses of Funds'!H47</f>
        <v>0</v>
      </c>
      <c r="I483" s="1625"/>
      <c r="J483" s="1640">
        <f>'Part IV-A-Uses of Funds'!J47</f>
        <v>0</v>
      </c>
      <c r="K483" s="1640">
        <f>'Part IV-A-Uses of Funds'!K47</f>
        <v>0</v>
      </c>
      <c r="L483" s="1655"/>
      <c r="M483" s="1640">
        <f>'Part IV-A-Uses of Funds'!M47</f>
        <v>0</v>
      </c>
      <c r="N483" s="1640">
        <f>'Part IV-A-Uses of Funds'!N47</f>
        <v>0</v>
      </c>
      <c r="O483" s="1625"/>
      <c r="P483" s="1640">
        <f>'Part IV-A-Uses of Funds'!P47</f>
        <v>546800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4741</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2700</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3760</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3761</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2362</v>
      </c>
      <c r="C490" s="1625"/>
      <c r="D490" s="1625"/>
      <c r="E490" s="1625"/>
      <c r="F490" s="1625"/>
      <c r="G490" s="1640">
        <f>'Part IV-A-Uses of Funds'!G54</f>
        <v>0</v>
      </c>
      <c r="H490" s="1640">
        <f>'Part IV-A-Uses of Funds'!H54</f>
        <v>0</v>
      </c>
      <c r="I490" s="1625"/>
      <c r="J490" s="1640">
        <f>'Part IV-A-Uses of Funds'!J54</f>
        <v>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2363</v>
      </c>
      <c r="C491" s="1625"/>
      <c r="D491" s="1625"/>
      <c r="E491" s="1625"/>
      <c r="F491" s="1625"/>
      <c r="G491" s="1640">
        <f>'Part IV-A-Uses of Funds'!G55</f>
        <v>0</v>
      </c>
      <c r="H491" s="1640">
        <f>'Part IV-A-Uses of Funds'!H55</f>
        <v>0</v>
      </c>
      <c r="I491" s="1625"/>
      <c r="J491" s="1640">
        <f>'Part IV-A-Uses of Funds'!J55</f>
        <v>0</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0</v>
      </c>
      <c r="T491" s="1640">
        <f>'Part IV-A-Uses of Funds'!T55</f>
        <v>0</v>
      </c>
      <c r="U491" s="1625"/>
      <c r="V491" s="1739"/>
      <c r="W491" s="1329"/>
      <c r="X491" s="1329"/>
    </row>
    <row r="492" spans="1:24">
      <c r="A492" s="1625"/>
      <c r="B492" s="1625" t="s">
        <v>2364</v>
      </c>
      <c r="C492" s="1625"/>
      <c r="D492" s="1625"/>
      <c r="E492" s="1625"/>
      <c r="F492" s="1625"/>
      <c r="G492" s="1640">
        <f>'Part IV-A-Uses of Funds'!G56</f>
        <v>50000</v>
      </c>
      <c r="H492" s="1640">
        <f>'Part IV-A-Uses of Funds'!H56</f>
        <v>0</v>
      </c>
      <c r="I492" s="1625"/>
      <c r="J492" s="1640">
        <f>'Part IV-A-Uses of Funds'!J56</f>
        <v>0</v>
      </c>
      <c r="K492" s="1640">
        <f>'Part IV-A-Uses of Funds'!K56</f>
        <v>0</v>
      </c>
      <c r="L492" s="1655"/>
      <c r="M492" s="1640">
        <f>'Part IV-A-Uses of Funds'!M56</f>
        <v>0</v>
      </c>
      <c r="N492" s="1640">
        <f>'Part IV-A-Uses of Funds'!N56</f>
        <v>0</v>
      </c>
      <c r="O492" s="1625"/>
      <c r="P492" s="1640">
        <f>'Part IV-A-Uses of Funds'!P56</f>
        <v>40000</v>
      </c>
      <c r="Q492" s="1640">
        <f>'Part IV-A-Uses of Funds'!Q56</f>
        <v>0</v>
      </c>
      <c r="R492" s="1625"/>
      <c r="S492" s="1640">
        <f>'Part IV-A-Uses of Funds'!S56</f>
        <v>10000</v>
      </c>
      <c r="T492" s="1640">
        <f>'Part IV-A-Uses of Funds'!T56</f>
        <v>0</v>
      </c>
      <c r="U492" s="1625"/>
      <c r="V492" s="1739"/>
      <c r="W492" s="1329"/>
      <c r="X492" s="1329"/>
    </row>
    <row r="493" spans="1:24">
      <c r="A493" s="1625"/>
      <c r="B493" s="1625" t="s">
        <v>2704</v>
      </c>
      <c r="C493" s="1625"/>
      <c r="D493" s="1625"/>
      <c r="E493" s="1625"/>
      <c r="F493" s="1625"/>
      <c r="G493" s="1640">
        <f>'Part IV-A-Uses of Funds'!G57</f>
        <v>30000</v>
      </c>
      <c r="H493" s="1640">
        <f>'Part IV-A-Uses of Funds'!H57</f>
        <v>0</v>
      </c>
      <c r="I493" s="1625"/>
      <c r="J493" s="1640">
        <f>'Part IV-A-Uses of Funds'!J57</f>
        <v>0</v>
      </c>
      <c r="K493" s="1640">
        <f>'Part IV-A-Uses of Funds'!K57</f>
        <v>0</v>
      </c>
      <c r="L493" s="1655"/>
      <c r="M493" s="1640">
        <f>'Part IV-A-Uses of Funds'!M57</f>
        <v>0</v>
      </c>
      <c r="N493" s="1640">
        <f>'Part IV-A-Uses of Funds'!N57</f>
        <v>0</v>
      </c>
      <c r="O493" s="1625"/>
      <c r="P493" s="1640">
        <f>'Part IV-A-Uses of Funds'!P57</f>
        <v>30000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45000</v>
      </c>
      <c r="H494" s="1640">
        <f>'Part IV-A-Uses of Funds'!H58</f>
        <v>0</v>
      </c>
      <c r="I494" s="1625"/>
      <c r="J494" s="1640">
        <f>'Part IV-A-Uses of Funds'!J58</f>
        <v>0</v>
      </c>
      <c r="K494" s="1640">
        <f>'Part IV-A-Uses of Funds'!K58</f>
        <v>0</v>
      </c>
      <c r="L494" s="1655"/>
      <c r="M494" s="1640">
        <f>'Part IV-A-Uses of Funds'!M58</f>
        <v>0</v>
      </c>
      <c r="N494" s="1640">
        <f>'Part IV-A-Uses of Funds'!N58</f>
        <v>0</v>
      </c>
      <c r="O494" s="1625"/>
      <c r="P494" s="1640">
        <f>'Part IV-A-Uses of Funds'!P58</f>
        <v>45000</v>
      </c>
      <c r="Q494" s="1640">
        <f>'Part IV-A-Uses of Funds'!Q58</f>
        <v>0</v>
      </c>
      <c r="R494" s="1625"/>
      <c r="S494" s="1640">
        <f>'Part IV-A-Uses of Funds'!S58</f>
        <v>0</v>
      </c>
      <c r="T494" s="1640">
        <f>'Part IV-A-Uses of Funds'!T58</f>
        <v>0</v>
      </c>
      <c r="U494" s="1625"/>
      <c r="V494" s="1739"/>
      <c r="W494" s="1329"/>
      <c r="X494" s="1329"/>
    </row>
    <row r="495" spans="1:24">
      <c r="A495" s="1625"/>
      <c r="B495" s="1625" t="s">
        <v>2365</v>
      </c>
      <c r="C495" s="1625"/>
      <c r="D495" s="1625"/>
      <c r="E495" s="1625"/>
      <c r="F495" s="1625"/>
      <c r="G495" s="1640">
        <f>'Part IV-A-Uses of Funds'!G59</f>
        <v>45000</v>
      </c>
      <c r="H495" s="1640">
        <f>'Part IV-A-Uses of Funds'!H59</f>
        <v>0</v>
      </c>
      <c r="I495" s="1625"/>
      <c r="J495" s="1640">
        <f>'Part IV-A-Uses of Funds'!J59</f>
        <v>0</v>
      </c>
      <c r="K495" s="1640">
        <f>'Part IV-A-Uses of Funds'!K59</f>
        <v>0</v>
      </c>
      <c r="L495" s="1655"/>
      <c r="M495" s="1640">
        <f>'Part IV-A-Uses of Funds'!M59</f>
        <v>0</v>
      </c>
      <c r="N495" s="1640">
        <f>'Part IV-A-Uses of Funds'!N59</f>
        <v>0</v>
      </c>
      <c r="O495" s="1625"/>
      <c r="P495" s="1640">
        <f>'Part IV-A-Uses of Funds'!P59</f>
        <v>45000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32390</v>
      </c>
      <c r="H496" s="1640">
        <f>'Part IV-A-Uses of Funds'!H60</f>
        <v>0</v>
      </c>
      <c r="I496" s="1625"/>
      <c r="J496" s="1640">
        <f>'Part IV-A-Uses of Funds'!J60</f>
        <v>0</v>
      </c>
      <c r="K496" s="1640">
        <f>'Part IV-A-Uses of Funds'!K60</f>
        <v>0</v>
      </c>
      <c r="L496" s="1655"/>
      <c r="M496" s="1640">
        <f>'Part IV-A-Uses of Funds'!M60</f>
        <v>0</v>
      </c>
      <c r="N496" s="1640">
        <f>'Part IV-A-Uses of Funds'!N60</f>
        <v>0</v>
      </c>
      <c r="O496" s="1625"/>
      <c r="P496" s="1640">
        <f>'Part IV-A-Uses of Funds'!P60</f>
        <v>20000</v>
      </c>
      <c r="Q496" s="1640">
        <f>'Part IV-A-Uses of Funds'!Q60</f>
        <v>0</v>
      </c>
      <c r="R496" s="1625"/>
      <c r="S496" s="1640">
        <f>'Part IV-A-Uses of Funds'!S60</f>
        <v>12390</v>
      </c>
      <c r="T496" s="1640">
        <f>'Part IV-A-Uses of Funds'!T60</f>
        <v>0</v>
      </c>
      <c r="U496" s="1625"/>
      <c r="V496" s="1739"/>
      <c r="W496" s="1329"/>
      <c r="X496" s="1329"/>
    </row>
    <row r="497" spans="1:24">
      <c r="A497" s="1625"/>
      <c r="B497" s="1764" t="s">
        <v>1163</v>
      </c>
      <c r="C497" s="1625"/>
      <c r="D497" s="1763"/>
      <c r="E497" s="1763"/>
      <c r="F497" s="1765"/>
      <c r="G497" s="1640">
        <f>'Part IV-A-Uses of Funds'!G61</f>
        <v>66769</v>
      </c>
      <c r="H497" s="1640">
        <f>'Part IV-A-Uses of Funds'!H61</f>
        <v>0</v>
      </c>
      <c r="I497" s="1632"/>
      <c r="J497" s="1640">
        <f>'Part IV-A-Uses of Funds'!J61</f>
        <v>0</v>
      </c>
      <c r="K497" s="1640">
        <f>'Part IV-A-Uses of Funds'!K61</f>
        <v>0</v>
      </c>
      <c r="L497" s="1655"/>
      <c r="M497" s="1640">
        <f>'Part IV-A-Uses of Funds'!M61</f>
        <v>0</v>
      </c>
      <c r="N497" s="1640">
        <f>'Part IV-A-Uses of Funds'!N61</f>
        <v>0</v>
      </c>
      <c r="O497" s="1625"/>
      <c r="P497" s="1640">
        <f>'Part IV-A-Uses of Funds'!P61</f>
        <v>66769</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f>'Part IV-A-Uses of Funds'!C62</f>
        <v>0</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f>'Part IV-A-Uses of Funds'!C63</f>
        <v>0</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269159</v>
      </c>
      <c r="H500" s="1640"/>
      <c r="I500" s="1625"/>
      <c r="J500" s="1640">
        <f>SUM(J488:K499)</f>
        <v>0</v>
      </c>
      <c r="K500" s="1640"/>
      <c r="L500" s="1655"/>
      <c r="M500" s="1640">
        <f>SUM(M488:N499)</f>
        <v>0</v>
      </c>
      <c r="N500" s="1640"/>
      <c r="O500" s="1625"/>
      <c r="P500" s="1640">
        <f>SUM(P488:Q499)</f>
        <v>246769</v>
      </c>
      <c r="Q500" s="1640"/>
      <c r="R500" s="1625"/>
      <c r="S500" s="1640">
        <f>SUM(S488:T499)</f>
        <v>22390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200000</v>
      </c>
      <c r="H502" s="1640">
        <f>'Part IV-A-Uses of Funds'!H66</f>
        <v>0</v>
      </c>
      <c r="I502" s="1625"/>
      <c r="J502" s="1640">
        <f>'Part IV-A-Uses of Funds'!J66</f>
        <v>0</v>
      </c>
      <c r="K502" s="1640">
        <f>'Part IV-A-Uses of Funds'!K66</f>
        <v>0</v>
      </c>
      <c r="L502" s="1655"/>
      <c r="M502" s="1640">
        <f>'Part IV-A-Uses of Funds'!M66</f>
        <v>0</v>
      </c>
      <c r="N502" s="1640">
        <f>'Part IV-A-Uses of Funds'!N66</f>
        <v>0</v>
      </c>
      <c r="O502" s="1625"/>
      <c r="P502" s="1640">
        <f>'Part IV-A-Uses of Funds'!P66</f>
        <v>200000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86000</v>
      </c>
      <c r="H503" s="1640">
        <f>'Part IV-A-Uses of Funds'!H67</f>
        <v>0</v>
      </c>
      <c r="I503" s="1625"/>
      <c r="J503" s="1640">
        <f>'Part IV-A-Uses of Funds'!J67</f>
        <v>0</v>
      </c>
      <c r="K503" s="1640">
        <f>'Part IV-A-Uses of Funds'!K67</f>
        <v>0</v>
      </c>
      <c r="L503" s="1655"/>
      <c r="M503" s="1640">
        <f>'Part IV-A-Uses of Funds'!M67</f>
        <v>0</v>
      </c>
      <c r="N503" s="1640">
        <f>'Part IV-A-Uses of Funds'!N67</f>
        <v>0</v>
      </c>
      <c r="O503" s="1625"/>
      <c r="P503" s="1640">
        <f>'Part IV-A-Uses of Funds'!P67</f>
        <v>86000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3877</v>
      </c>
      <c r="E504" s="1766">
        <f>'DCA Underwriting Assumptions'!R513</f>
        <v>0</v>
      </c>
      <c r="F504" s="1622" t="str">
        <f>IF(G504&gt;E504,"CHECK!!!","")</f>
        <v>CHECK!!!</v>
      </c>
      <c r="G504" s="1640">
        <f>'Part IV-A-Uses of Funds'!G68</f>
        <v>20000</v>
      </c>
      <c r="H504" s="1640">
        <f>'Part IV-A-Uses of Funds'!H68</f>
        <v>0</v>
      </c>
      <c r="I504" s="1625"/>
      <c r="J504" s="1640">
        <f>'Part IV-A-Uses of Funds'!J68</f>
        <v>0</v>
      </c>
      <c r="K504" s="1640">
        <f>'Part IV-A-Uses of Funds'!K68</f>
        <v>0</v>
      </c>
      <c r="L504" s="1655"/>
      <c r="M504" s="1640">
        <f>'Part IV-A-Uses of Funds'!M68</f>
        <v>0</v>
      </c>
      <c r="N504" s="1640">
        <f>'Part IV-A-Uses of Funds'!N68</f>
        <v>0</v>
      </c>
      <c r="O504" s="1625"/>
      <c r="P504" s="1640">
        <f>'Part IV-A-Uses of Funds'!P68</f>
        <v>20000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25000</v>
      </c>
      <c r="H505" s="1640">
        <f>'Part IV-A-Uses of Funds'!H69</f>
        <v>0</v>
      </c>
      <c r="I505" s="1625"/>
      <c r="J505" s="1640">
        <f>'Part IV-A-Uses of Funds'!J69</f>
        <v>0</v>
      </c>
      <c r="K505" s="1640">
        <f>'Part IV-A-Uses of Funds'!K69</f>
        <v>0</v>
      </c>
      <c r="L505" s="1655"/>
      <c r="M505" s="1640">
        <f>'Part IV-A-Uses of Funds'!M69</f>
        <v>0</v>
      </c>
      <c r="N505" s="1640">
        <f>'Part IV-A-Uses of Funds'!N69</f>
        <v>0</v>
      </c>
      <c r="O505" s="1625"/>
      <c r="P505" s="1640">
        <f>'Part IV-A-Uses of Funds'!P69</f>
        <v>25000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15000</v>
      </c>
      <c r="H506" s="1640">
        <f>'Part IV-A-Uses of Funds'!H70</f>
        <v>0</v>
      </c>
      <c r="I506" s="1625"/>
      <c r="J506" s="1640">
        <f>'Part IV-A-Uses of Funds'!J70</f>
        <v>0</v>
      </c>
      <c r="K506" s="1640">
        <f>'Part IV-A-Uses of Funds'!K70</f>
        <v>0</v>
      </c>
      <c r="L506" s="1655"/>
      <c r="M506" s="1640">
        <f>'Part IV-A-Uses of Funds'!M70</f>
        <v>0</v>
      </c>
      <c r="N506" s="1640">
        <f>'Part IV-A-Uses of Funds'!N70</f>
        <v>0</v>
      </c>
      <c r="O506" s="1625"/>
      <c r="P506" s="1640">
        <f>'Part IV-A-Uses of Funds'!P70</f>
        <v>15000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30000</v>
      </c>
      <c r="H507" s="1640">
        <f>'Part IV-A-Uses of Funds'!H71</f>
        <v>0</v>
      </c>
      <c r="I507" s="1625"/>
      <c r="J507" s="1640">
        <f>'Part IV-A-Uses of Funds'!J71</f>
        <v>0</v>
      </c>
      <c r="K507" s="1640">
        <f>'Part IV-A-Uses of Funds'!K71</f>
        <v>0</v>
      </c>
      <c r="L507" s="1655"/>
      <c r="M507" s="1640">
        <f>'Part IV-A-Uses of Funds'!M71</f>
        <v>0</v>
      </c>
      <c r="N507" s="1640">
        <f>'Part IV-A-Uses of Funds'!N71</f>
        <v>0</v>
      </c>
      <c r="O507" s="1625"/>
      <c r="P507" s="1640">
        <f>'Part IV-A-Uses of Funds'!P71</f>
        <v>30000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75000</v>
      </c>
      <c r="H508" s="1640">
        <f>'Part IV-A-Uses of Funds'!H72</f>
        <v>0</v>
      </c>
      <c r="I508" s="1625"/>
      <c r="J508" s="1640">
        <f>'Part IV-A-Uses of Funds'!J72</f>
        <v>0</v>
      </c>
      <c r="K508" s="1640">
        <f>'Part IV-A-Uses of Funds'!K72</f>
        <v>0</v>
      </c>
      <c r="L508" s="1655"/>
      <c r="M508" s="1640">
        <f>'Part IV-A-Uses of Funds'!M72</f>
        <v>0</v>
      </c>
      <c r="N508" s="1640">
        <f>'Part IV-A-Uses of Funds'!N72</f>
        <v>0</v>
      </c>
      <c r="O508" s="1625"/>
      <c r="P508" s="1640">
        <f>'Part IV-A-Uses of Funds'!P72</f>
        <v>75000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95000</v>
      </c>
      <c r="H509" s="1640">
        <f>'Part IV-A-Uses of Funds'!H73</f>
        <v>0</v>
      </c>
      <c r="I509" s="1625"/>
      <c r="J509" s="1640">
        <f>'Part IV-A-Uses of Funds'!J73</f>
        <v>0</v>
      </c>
      <c r="K509" s="1640">
        <f>'Part IV-A-Uses of Funds'!K73</f>
        <v>0</v>
      </c>
      <c r="L509" s="1655"/>
      <c r="M509" s="1640">
        <f>'Part IV-A-Uses of Funds'!M73</f>
        <v>0</v>
      </c>
      <c r="N509" s="1640">
        <f>'Part IV-A-Uses of Funds'!N73</f>
        <v>0</v>
      </c>
      <c r="O509" s="1625"/>
      <c r="P509" s="1640">
        <f>'Part IV-A-Uses of Funds'!P73</f>
        <v>95000</v>
      </c>
      <c r="Q509" s="1640">
        <f>'Part IV-A-Uses of Funds'!Q73</f>
        <v>0</v>
      </c>
      <c r="R509" s="1625"/>
      <c r="S509" s="1640">
        <f>'Part IV-A-Uses of Funds'!S73</f>
        <v>0</v>
      </c>
      <c r="T509" s="1640">
        <f>'Part IV-A-Uses of Funds'!T73</f>
        <v>0</v>
      </c>
      <c r="U509" s="1625"/>
      <c r="V509" s="1739"/>
      <c r="W509" s="1329"/>
      <c r="X509" s="1329"/>
    </row>
    <row r="510" spans="1:24">
      <c r="A510" s="1625"/>
      <c r="B510" s="1625" t="s">
        <v>2065</v>
      </c>
      <c r="C510" s="1625"/>
      <c r="D510" s="1625"/>
      <c r="E510" s="1625"/>
      <c r="F510" s="1625"/>
      <c r="G510" s="1640">
        <f>'Part IV-A-Uses of Funds'!G74</f>
        <v>85000</v>
      </c>
      <c r="H510" s="1640">
        <f>'Part IV-A-Uses of Funds'!H74</f>
        <v>0</v>
      </c>
      <c r="I510" s="1625"/>
      <c r="J510" s="1640">
        <f>'Part IV-A-Uses of Funds'!J74</f>
        <v>0</v>
      </c>
      <c r="K510" s="1640">
        <f>'Part IV-A-Uses of Funds'!K74</f>
        <v>0</v>
      </c>
      <c r="L510" s="1655"/>
      <c r="M510" s="1640">
        <f>'Part IV-A-Uses of Funds'!M74</f>
        <v>0</v>
      </c>
      <c r="N510" s="1640">
        <f>'Part IV-A-Uses of Funds'!N74</f>
        <v>0</v>
      </c>
      <c r="O510" s="1625"/>
      <c r="P510" s="1640">
        <f>'Part IV-A-Uses of Funds'!P74</f>
        <v>60000</v>
      </c>
      <c r="Q510" s="1640">
        <f>'Part IV-A-Uses of Funds'!Q74</f>
        <v>0</v>
      </c>
      <c r="R510" s="1625"/>
      <c r="S510" s="1640">
        <f>'Part IV-A-Uses of Funds'!S74</f>
        <v>25000</v>
      </c>
      <c r="T510" s="1640">
        <f>'Part IV-A-Uses of Funds'!T74</f>
        <v>0</v>
      </c>
      <c r="U510" s="1625"/>
      <c r="V510" s="1739"/>
      <c r="W510" s="1329"/>
      <c r="X510" s="1329"/>
    </row>
    <row r="511" spans="1:24">
      <c r="A511" s="1625"/>
      <c r="B511" s="1625" t="s">
        <v>1289</v>
      </c>
      <c r="C511" s="1625"/>
      <c r="D511" s="1625"/>
      <c r="E511" s="1625"/>
      <c r="F511" s="1625"/>
      <c r="G511" s="1640">
        <f>'Part IV-A-Uses of Funds'!G75</f>
        <v>4000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4000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635000</v>
      </c>
      <c r="H513" s="1640"/>
      <c r="I513" s="1625"/>
      <c r="J513" s="1640">
        <f>SUM(J502:K512)</f>
        <v>0</v>
      </c>
      <c r="K513" s="1640"/>
      <c r="L513" s="1655"/>
      <c r="M513" s="1640">
        <f>SUM(M502:N512)</f>
        <v>0</v>
      </c>
      <c r="N513" s="1640"/>
      <c r="O513" s="1625"/>
      <c r="P513" s="1640">
        <f>SUM(P502:Q512)</f>
        <v>606000</v>
      </c>
      <c r="Q513" s="1640"/>
      <c r="R513" s="1625"/>
      <c r="S513" s="1640">
        <f>SUM(S502:T512)</f>
        <v>29000</v>
      </c>
      <c r="T513" s="1640"/>
      <c r="U513" s="1625"/>
      <c r="V513" s="1739">
        <f>SUM(V502:V512)</f>
        <v>0</v>
      </c>
      <c r="W513" s="1329"/>
      <c r="X513" s="1329"/>
    </row>
    <row r="514" spans="1:24">
      <c r="A514" s="1625"/>
      <c r="B514" s="1622" t="s">
        <v>1281</v>
      </c>
      <c r="C514" s="1625"/>
      <c r="D514" s="1767" t="s">
        <v>3762</v>
      </c>
      <c r="E514" s="1768">
        <f>G519/'Part VI-Revenues &amp; Expenses'!$O$62</f>
        <v>618.43089430894304</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56067</v>
      </c>
      <c r="H515" s="1640">
        <f>'Part IV-A-Uses of Funds'!H79</f>
        <v>0</v>
      </c>
      <c r="I515" s="1625"/>
      <c r="J515" s="1640">
        <f>'Part IV-A-Uses of Funds'!J79</f>
        <v>0</v>
      </c>
      <c r="K515" s="1640">
        <f>'Part IV-A-Uses of Funds'!K79</f>
        <v>0</v>
      </c>
      <c r="L515" s="1655"/>
      <c r="M515" s="1640">
        <f>'Part IV-A-Uses of Funds'!M79</f>
        <v>0</v>
      </c>
      <c r="N515" s="1640">
        <f>'Part IV-A-Uses of Funds'!N79</f>
        <v>0</v>
      </c>
      <c r="O515" s="1625"/>
      <c r="P515" s="1640">
        <f>'Part IV-A-Uses of Funds'!P79</f>
        <v>56067</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t="str">
        <f>'Part IV-A-Uses of Funds'!G80</f>
        <v>`</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10000</v>
      </c>
      <c r="H517" s="1640">
        <f>'Part IV-A-Uses of Funds'!H81</f>
        <v>0</v>
      </c>
      <c r="I517" s="1632"/>
      <c r="J517" s="1640">
        <f>'Part IV-A-Uses of Funds'!J81</f>
        <v>0</v>
      </c>
      <c r="K517" s="1640">
        <f>'Part IV-A-Uses of Funds'!K81</f>
        <v>0</v>
      </c>
      <c r="L517" s="1655"/>
      <c r="M517" s="1640">
        <f>'Part IV-A-Uses of Funds'!M81</f>
        <v>0</v>
      </c>
      <c r="N517" s="1640">
        <f>'Part IV-A-Uses of Funds'!N81</f>
        <v>0</v>
      </c>
      <c r="O517" s="1625"/>
      <c r="P517" s="1640">
        <f>'Part IV-A-Uses of Funds'!P81</f>
        <v>10000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10000</v>
      </c>
      <c r="H518" s="1640">
        <f>'Part IV-A-Uses of Funds'!H82</f>
        <v>0</v>
      </c>
      <c r="I518" s="1632"/>
      <c r="J518" s="1640">
        <f>'Part IV-A-Uses of Funds'!J82</f>
        <v>0</v>
      </c>
      <c r="K518" s="1640">
        <f>'Part IV-A-Uses of Funds'!K82</f>
        <v>0</v>
      </c>
      <c r="L518" s="1655"/>
      <c r="M518" s="1640">
        <f>'Part IV-A-Uses of Funds'!M82</f>
        <v>0</v>
      </c>
      <c r="N518" s="1640">
        <f>'Part IV-A-Uses of Funds'!N82</f>
        <v>0</v>
      </c>
      <c r="O518" s="1625"/>
      <c r="P518" s="1640">
        <f>'Part IV-A-Uses of Funds'!P82</f>
        <v>10000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76067</v>
      </c>
      <c r="H519" s="1640"/>
      <c r="I519" s="1625"/>
      <c r="J519" s="1640">
        <f>SUM(J515:K518)</f>
        <v>0</v>
      </c>
      <c r="K519" s="1640"/>
      <c r="L519" s="1655"/>
      <c r="M519" s="1640">
        <f>SUM(M515:N518)</f>
        <v>0</v>
      </c>
      <c r="N519" s="1640"/>
      <c r="O519" s="1625"/>
      <c r="P519" s="1640">
        <f>SUM(P515:Q518)</f>
        <v>76067</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0</v>
      </c>
      <c r="H521" s="1640">
        <f>'Part IV-A-Uses of Funds'!H85</f>
        <v>0</v>
      </c>
      <c r="I521" s="1625"/>
      <c r="J521" s="1640"/>
      <c r="K521" s="1640"/>
      <c r="L521" s="1655"/>
      <c r="M521" s="1640"/>
      <c r="N521" s="1640"/>
      <c r="O521" s="1625"/>
      <c r="P521" s="1640"/>
      <c r="Q521" s="1640"/>
      <c r="R521" s="1625"/>
      <c r="S521" s="1640">
        <f>'Part IV-A-Uses of Funds'!S85</f>
        <v>0</v>
      </c>
      <c r="T521" s="1640">
        <f>'Part IV-A-Uses of Funds'!T85</f>
        <v>0</v>
      </c>
      <c r="U521" s="1625"/>
      <c r="V521" s="1739"/>
      <c r="W521" s="1329"/>
      <c r="X521" s="1329"/>
    </row>
    <row r="522" spans="1:24">
      <c r="A522" s="1625"/>
      <c r="B522" s="1625" t="s">
        <v>1287</v>
      </c>
      <c r="C522" s="1625"/>
      <c r="D522" s="1625"/>
      <c r="E522" s="1625"/>
      <c r="F522" s="1625"/>
      <c r="G522" s="1640">
        <f>'Part IV-A-Uses of Funds'!G86</f>
        <v>0</v>
      </c>
      <c r="H522" s="1640">
        <f>'Part IV-A-Uses of Funds'!H86</f>
        <v>0</v>
      </c>
      <c r="I522" s="1625"/>
      <c r="J522" s="1640"/>
      <c r="K522" s="1640"/>
      <c r="L522" s="1655"/>
      <c r="M522" s="1640"/>
      <c r="N522" s="1640"/>
      <c r="O522" s="1625"/>
      <c r="P522" s="1640"/>
      <c r="Q522" s="1640"/>
      <c r="R522" s="1625"/>
      <c r="S522" s="1640">
        <f>'Part IV-A-Uses of Funds'!S86</f>
        <v>0</v>
      </c>
      <c r="T522" s="1640">
        <f>'Part IV-A-Uses of Funds'!T86</f>
        <v>0</v>
      </c>
      <c r="U522" s="1625"/>
      <c r="V522" s="1739"/>
      <c r="W522" s="1329"/>
      <c r="X522" s="1329"/>
    </row>
    <row r="523" spans="1:24">
      <c r="A523" s="1625"/>
      <c r="B523" s="1625" t="s">
        <v>1288</v>
      </c>
      <c r="C523" s="1625"/>
      <c r="D523" s="1625"/>
      <c r="E523" s="1625"/>
      <c r="F523" s="1625"/>
      <c r="G523" s="1640">
        <f>'Part IV-A-Uses of Funds'!G87</f>
        <v>0</v>
      </c>
      <c r="H523" s="1640">
        <f>'Part IV-A-Uses of Funds'!H87</f>
        <v>0</v>
      </c>
      <c r="I523" s="1625"/>
      <c r="J523" s="1640"/>
      <c r="K523" s="1640"/>
      <c r="L523" s="1655"/>
      <c r="M523" s="1640"/>
      <c r="N523" s="1640"/>
      <c r="O523" s="1625"/>
      <c r="P523" s="1640"/>
      <c r="Q523" s="1640"/>
      <c r="R523" s="1625"/>
      <c r="S523" s="1640">
        <f>'Part IV-A-Uses of Funds'!S87</f>
        <v>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2314</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0</v>
      </c>
      <c r="H527" s="1640"/>
      <c r="I527" s="1625"/>
      <c r="J527" s="1640"/>
      <c r="K527" s="1640"/>
      <c r="L527" s="1655"/>
      <c r="M527" s="1640"/>
      <c r="N527" s="1640"/>
      <c r="O527" s="1625"/>
      <c r="P527" s="1640"/>
      <c r="Q527" s="1640"/>
      <c r="R527" s="1625"/>
      <c r="S527" s="1640">
        <f>SUM(S521:T526)</f>
        <v>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4742</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2700</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1000</v>
      </c>
      <c r="H532" s="1640">
        <f>'Part IV-A-Uses of Funds'!H96</f>
        <v>0</v>
      </c>
      <c r="I532" s="1625"/>
      <c r="J532" s="1655"/>
      <c r="K532" s="1655"/>
      <c r="L532" s="1655"/>
      <c r="M532" s="1655"/>
      <c r="N532" s="1655"/>
      <c r="O532" s="1625"/>
      <c r="P532" s="1655"/>
      <c r="Q532" s="1655"/>
      <c r="R532" s="1625"/>
      <c r="S532" s="1640">
        <f>'Part IV-A-Uses of Funds'!S96</f>
        <v>1000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5500</v>
      </c>
      <c r="H533" s="1640">
        <f>'Part IV-A-Uses of Funds'!H97</f>
        <v>0</v>
      </c>
      <c r="I533" s="1625"/>
      <c r="J533" s="1655"/>
      <c r="K533" s="1655"/>
      <c r="L533" s="1771"/>
      <c r="M533" s="1655"/>
      <c r="N533" s="1655"/>
      <c r="O533" s="1625"/>
      <c r="P533" s="1655"/>
      <c r="Q533" s="1655"/>
      <c r="R533" s="1625"/>
      <c r="S533" s="1640">
        <f>'Part IV-A-Uses of Funds'!S97</f>
        <v>5500</v>
      </c>
      <c r="T533" s="1640">
        <f>'Part IV-A-Uses of Funds'!T97</f>
        <v>0</v>
      </c>
      <c r="U533" s="1625"/>
      <c r="V533" s="1739"/>
      <c r="W533" s="1329"/>
      <c r="X533" s="1329"/>
    </row>
    <row r="534" spans="1:24">
      <c r="A534" s="1625"/>
      <c r="B534" s="1625" t="s">
        <v>3984</v>
      </c>
      <c r="C534" s="1625"/>
      <c r="D534" s="1625"/>
      <c r="E534" s="1625"/>
      <c r="F534" s="1625"/>
      <c r="G534" s="1640">
        <f>'Part IV-A-Uses of Funds'!G98</f>
        <v>0</v>
      </c>
      <c r="H534" s="1640">
        <f>'Part IV-A-Uses of Funds'!H98</f>
        <v>0</v>
      </c>
      <c r="I534" s="1625"/>
      <c r="J534" s="1655"/>
      <c r="K534" s="1655"/>
      <c r="L534" s="1771"/>
      <c r="M534" s="1655"/>
      <c r="N534" s="1655"/>
      <c r="O534" s="1625"/>
      <c r="P534" s="1655"/>
      <c r="Q534" s="1655"/>
      <c r="R534" s="1625"/>
      <c r="S534" s="1640">
        <f>'Part IV-A-Uses of Funds'!S98</f>
        <v>0</v>
      </c>
      <c r="T534" s="1640">
        <f>'Part IV-A-Uses of Funds'!T98</f>
        <v>0</v>
      </c>
      <c r="U534" s="1625"/>
      <c r="V534" s="1739"/>
      <c r="W534" s="1329"/>
      <c r="X534" s="1329"/>
    </row>
    <row r="535" spans="1:24">
      <c r="A535" s="1625"/>
      <c r="B535" s="1625" t="s">
        <v>524</v>
      </c>
      <c r="C535" s="1625"/>
      <c r="D535" s="1625"/>
      <c r="E535" s="1772">
        <f>'DCA Underwriting Assumptions'!$Q$88*J611</f>
        <v>75200</v>
      </c>
      <c r="F535" s="1772"/>
      <c r="G535" s="1640">
        <f>'Part IV-A-Uses of Funds'!G99</f>
        <v>75200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75200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536" s="1772"/>
      <c r="G536" s="1640">
        <f>'Part IV-A-Uses of Funds'!G100</f>
        <v>98400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98400</v>
      </c>
      <c r="T536" s="1640">
        <f>'Part IV-A-Uses of Funds'!T100</f>
        <v>0</v>
      </c>
      <c r="U536" s="1625"/>
      <c r="V536" s="1739"/>
      <c r="W536" s="1329"/>
      <c r="X536" s="1329"/>
    </row>
    <row r="537" spans="1:24">
      <c r="A537" s="1625"/>
      <c r="B537" s="1625" t="s">
        <v>4297</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4298</v>
      </c>
      <c r="C538" s="1625"/>
      <c r="D538" s="1625"/>
      <c r="E538" s="1625"/>
      <c r="F538" s="1774">
        <f>'DCA Underwriting Assumptions'!$Q$111</f>
        <v>3000</v>
      </c>
      <c r="G538" s="1640">
        <f>'Part IV-A-Uses of Funds'!G102</f>
        <v>0</v>
      </c>
      <c r="H538" s="1640">
        <f>'Part IV-A-Uses of Funds'!H102</f>
        <v>0</v>
      </c>
      <c r="I538" s="1625"/>
      <c r="J538" s="1632"/>
      <c r="K538" s="1632"/>
      <c r="L538" s="1632"/>
      <c r="M538" s="1632"/>
      <c r="N538" s="1632"/>
      <c r="O538" s="1632"/>
      <c r="P538" s="1632"/>
      <c r="Q538" s="1632"/>
      <c r="R538" s="1625"/>
      <c r="S538" s="1640">
        <f>'Part IV-A-Uses of Funds'!S102</f>
        <v>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180100</v>
      </c>
      <c r="H541" s="1640"/>
      <c r="I541" s="1625"/>
      <c r="J541" s="1655"/>
      <c r="K541" s="1655"/>
      <c r="L541" s="1655"/>
      <c r="M541" s="1655"/>
      <c r="N541" s="1655"/>
      <c r="O541" s="1625"/>
      <c r="P541" s="1655"/>
      <c r="Q541" s="1655"/>
      <c r="R541" s="1625"/>
      <c r="S541" s="1640">
        <f>SUM(S532:T540)</f>
        <v>180100</v>
      </c>
      <c r="T541" s="1640"/>
      <c r="U541" s="1625"/>
      <c r="V541" s="1739">
        <f>SUM(V532:V540)</f>
        <v>0</v>
      </c>
      <c r="W541" s="1775"/>
      <c r="X541" s="1775"/>
    </row>
    <row r="542" spans="1:24">
      <c r="A542" s="1625"/>
      <c r="B542" s="1622" t="s">
        <v>2315</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0</v>
      </c>
      <c r="H543" s="1640">
        <f>'Part IV-A-Uses of Funds'!H107</f>
        <v>0</v>
      </c>
      <c r="I543" s="1625"/>
      <c r="J543" s="1640"/>
      <c r="K543" s="1640"/>
      <c r="L543" s="1655"/>
      <c r="M543" s="1640"/>
      <c r="N543" s="1640"/>
      <c r="O543" s="1625"/>
      <c r="P543" s="1640"/>
      <c r="Q543" s="1640"/>
      <c r="R543" s="1625"/>
      <c r="S543" s="1640">
        <f>'Part IV-A-Uses of Funds'!S107</f>
        <v>0</v>
      </c>
      <c r="T543" s="1640">
        <f>'Part IV-A-Uses of Funds'!T107</f>
        <v>0</v>
      </c>
      <c r="U543" s="1625"/>
      <c r="V543" s="1739"/>
      <c r="W543" s="1329"/>
      <c r="X543" s="1329"/>
    </row>
    <row r="544" spans="1:24">
      <c r="A544" s="1625"/>
      <c r="B544" s="1625" t="s">
        <v>282</v>
      </c>
      <c r="C544" s="1625"/>
      <c r="D544" s="1625"/>
      <c r="E544" s="1625"/>
      <c r="F544" s="1625"/>
      <c r="G544" s="1640">
        <f>'Part IV-A-Uses of Funds'!G108</f>
        <v>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2402</v>
      </c>
      <c r="C545" s="1625"/>
      <c r="D545" s="1625"/>
      <c r="E545" s="1625"/>
      <c r="F545" s="1625"/>
      <c r="G545" s="1640">
        <f>'Part IV-A-Uses of Funds'!G109</f>
        <v>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0</v>
      </c>
      <c r="H547" s="1640"/>
      <c r="I547" s="1625"/>
      <c r="J547" s="1640"/>
      <c r="K547" s="1640"/>
      <c r="L547" s="1655"/>
      <c r="M547" s="1640"/>
      <c r="N547" s="1640"/>
      <c r="O547" s="1625"/>
      <c r="P547" s="1640"/>
      <c r="Q547" s="1640"/>
      <c r="R547" s="1625"/>
      <c r="S547" s="1640">
        <f>SUM(S543:T546)</f>
        <v>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1874</v>
      </c>
      <c r="C549" s="1625"/>
      <c r="D549" s="1625"/>
      <c r="E549" s="1625"/>
      <c r="F549" s="1722">
        <f>IF($G$118=0,0,G549/$G$118)</f>
        <v>0</v>
      </c>
      <c r="G549" s="1640">
        <f>'Part IV-A-Uses of Funds'!G113</f>
        <v>360000</v>
      </c>
      <c r="H549" s="1640">
        <f>'Part IV-A-Uses of Funds'!H113</f>
        <v>0</v>
      </c>
      <c r="I549" s="1625"/>
      <c r="J549" s="1640">
        <f>'Part IV-A-Uses of Funds'!J113</f>
        <v>0</v>
      </c>
      <c r="K549" s="1640">
        <f>'Part IV-A-Uses of Funds'!K113</f>
        <v>0</v>
      </c>
      <c r="L549" s="1743"/>
      <c r="M549" s="1640">
        <f>'Part IV-A-Uses of Funds'!M113</f>
        <v>0</v>
      </c>
      <c r="N549" s="1640">
        <f>'Part IV-A-Uses of Funds'!N113</f>
        <v>0</v>
      </c>
      <c r="O549" s="1625"/>
      <c r="P549" s="1640">
        <f>'Part IV-A-Uses of Funds'!P113</f>
        <v>360000</v>
      </c>
      <c r="Q549" s="1640">
        <f>'Part IV-A-Uses of Funds'!Q113</f>
        <v>0</v>
      </c>
      <c r="R549" s="1625"/>
      <c r="S549" s="1640">
        <f>'Part IV-A-Uses of Funds'!S113</f>
        <v>0</v>
      </c>
      <c r="T549" s="1640">
        <f>'Part IV-A-Uses of Funds'!T113</f>
        <v>0</v>
      </c>
      <c r="U549" s="1625"/>
      <c r="V549" s="1739"/>
      <c r="W549" s="1329"/>
      <c r="X549" s="1329"/>
    </row>
    <row r="550" spans="1:24">
      <c r="A550" s="1625"/>
      <c r="B550" s="1625" t="s">
        <v>4250</v>
      </c>
      <c r="C550" s="1625"/>
      <c r="D550" s="1625"/>
      <c r="E550" s="1625"/>
      <c r="F550" s="1776">
        <f>'Part IV-A-Uses of Funds'!F114</f>
        <v>360000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1875</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3659</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1867</v>
      </c>
      <c r="C553" s="1625"/>
      <c r="D553" s="1625"/>
      <c r="E553" s="1625"/>
      <c r="F553" s="1722">
        <f>IF($G$118=0,0,G553/$G$118)</f>
        <v>0</v>
      </c>
      <c r="G553" s="1640">
        <f>'Part IV-A-Uses of Funds'!G117</f>
        <v>1440000</v>
      </c>
      <c r="H553" s="1640">
        <f>'Part IV-A-Uses of Funds'!H117</f>
        <v>0</v>
      </c>
      <c r="I553" s="1625"/>
      <c r="J553" s="1640">
        <f>'Part IV-A-Uses of Funds'!J117</f>
        <v>0</v>
      </c>
      <c r="K553" s="1640">
        <f>'Part IV-A-Uses of Funds'!K117</f>
        <v>0</v>
      </c>
      <c r="L553" s="1655"/>
      <c r="M553" s="1640">
        <f>'Part IV-A-Uses of Funds'!M117</f>
        <v>0</v>
      </c>
      <c r="N553" s="1640">
        <f>'Part IV-A-Uses of Funds'!N117</f>
        <v>0</v>
      </c>
      <c r="O553" s="1625"/>
      <c r="P553" s="1640">
        <f>'Part IV-A-Uses of Funds'!P117</f>
        <v>1440000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1800000</v>
      </c>
      <c r="H554" s="1640"/>
      <c r="I554" s="1625"/>
      <c r="J554" s="1640">
        <f>SUM(J549:K553)</f>
        <v>0</v>
      </c>
      <c r="K554" s="1640"/>
      <c r="L554" s="1655"/>
      <c r="M554" s="1640">
        <f>SUM(M549:N553)</f>
        <v>0</v>
      </c>
      <c r="N554" s="1640"/>
      <c r="O554" s="1625"/>
      <c r="P554" s="1640">
        <f>SUM(P549:Q553)</f>
        <v>1800000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44000</v>
      </c>
      <c r="H556" s="1640">
        <f>'Part IV-A-Uses of Funds'!H120</f>
        <v>0</v>
      </c>
      <c r="I556" s="1625"/>
      <c r="J556" s="1771"/>
      <c r="K556" s="1771"/>
      <c r="L556" s="1771"/>
      <c r="M556" s="1771"/>
      <c r="N556" s="1771"/>
      <c r="O556" s="1625"/>
      <c r="P556" s="1771"/>
      <c r="Q556" s="1771"/>
      <c r="R556" s="1625"/>
      <c r="S556" s="1640">
        <f>'Part IV-A-Uses of Funds'!S120</f>
        <v>44000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139472.25</v>
      </c>
      <c r="G557" s="1640">
        <f>'Part IV-A-Uses of Funds'!G121</f>
        <v>141000</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141000</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334131.81683493557</v>
      </c>
      <c r="G558" s="1640">
        <f>'Part IV-A-Uses of Funds'!G122</f>
        <v>336000</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336000</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3590</v>
      </c>
      <c r="F560" s="1691">
        <f>IF('Part VI-Revenues &amp; Expenses'!$O$62=0,0,G560/'Part VI-Revenues &amp; Expenses'!$O$62)</f>
        <v>990.26016260162601</v>
      </c>
      <c r="G560" s="1640">
        <f>'Part IV-A-Uses of Funds'!G124</f>
        <v>121802</v>
      </c>
      <c r="H560" s="1640">
        <f>'Part IV-A-Uses of Funds'!H124</f>
        <v>0</v>
      </c>
      <c r="I560" s="1625"/>
      <c r="J560" s="1640">
        <f>'Part IV-A-Uses of Funds'!J124</f>
        <v>0</v>
      </c>
      <c r="K560" s="1640">
        <f>'Part IV-A-Uses of Funds'!K124</f>
        <v>0</v>
      </c>
      <c r="L560" s="1655"/>
      <c r="M560" s="1640">
        <f>'Part IV-A-Uses of Funds'!M124</f>
        <v>0</v>
      </c>
      <c r="N560" s="1640">
        <f>'Part IV-A-Uses of Funds'!N124</f>
        <v>0</v>
      </c>
      <c r="O560" s="1625"/>
      <c r="P560" s="1640">
        <f>'Part IV-A-Uses of Funds'!P124</f>
        <v>121802</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642802</v>
      </c>
      <c r="H562" s="1640"/>
      <c r="I562" s="1625"/>
      <c r="J562" s="1640">
        <f>SUM(J560:K561)</f>
        <v>0</v>
      </c>
      <c r="K562" s="1640"/>
      <c r="L562" s="1655"/>
      <c r="M562" s="1640">
        <f>SUM(M560:N561)</f>
        <v>0</v>
      </c>
      <c r="N562" s="1640"/>
      <c r="O562" s="1625"/>
      <c r="P562" s="1640">
        <f>SUM(P560:Q561)</f>
        <v>121802</v>
      </c>
      <c r="Q562" s="1640"/>
      <c r="R562" s="1625"/>
      <c r="S562" s="1640">
        <f>SUM(S556:T561)</f>
        <v>521000</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0</v>
      </c>
      <c r="H566" s="1640"/>
      <c r="I566" s="1625"/>
      <c r="J566" s="1640">
        <f>SUM(J564:K565)</f>
        <v>0</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4743</v>
      </c>
      <c r="C568" s="1625"/>
      <c r="D568" s="1625"/>
      <c r="E568" s="1625"/>
      <c r="F568" s="1625"/>
      <c r="G568" s="1781">
        <f>G453+G459+G463+G469+G474+G477+G483+G500+G513+G519+G527+G541+G547+G554+G562+G566</f>
        <v>15349522</v>
      </c>
      <c r="H568" s="1781"/>
      <c r="I568" s="1625"/>
      <c r="J568" s="1781">
        <f>J453+J459+J463+J469+J474+J477+J483+J500+J513+J519+J527+J541+J547+J554+J562+J566</f>
        <v>0</v>
      </c>
      <c r="K568" s="1781"/>
      <c r="L568" s="1625"/>
      <c r="M568" s="1781">
        <f>M453+M459+M463+M469+M474+M477+M483+M500+M513+M519+M527+M541+M547+M554+M562+M566</f>
        <v>0</v>
      </c>
      <c r="N568" s="1781"/>
      <c r="O568" s="1625"/>
      <c r="P568" s="1781">
        <f>P453+P459+P463+P469+P474+P477+P483+P500+P513+P519+P527+P541+P547+P554+P562+P566</f>
        <v>11322032</v>
      </c>
      <c r="Q568" s="1781"/>
      <c r="R568" s="1625"/>
      <c r="S568" s="1781">
        <f>S453+S459+S463+S469+S474+S477+S483+S500+S513+S519+S527+S541+S547+S554+S562+S566</f>
        <v>4027490</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4744</v>
      </c>
      <c r="C570" s="1754"/>
      <c r="D570" s="1783">
        <f>IF('Part VI-Revenues &amp; Expenses'!$O$62=0,0,G568/'Part VI-Revenues &amp; Expenses'!$O$62)</f>
        <v>124792.86178861788</v>
      </c>
      <c r="E570" s="1783"/>
      <c r="F570" s="1770" t="s">
        <v>2781</v>
      </c>
      <c r="G570" s="1783">
        <f>IF('Part I-Project Information'!$P$71=0,0,G568/'Part I-Project Information'!$P$71)</f>
        <v>185.85206441457802</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2060</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2168</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1877</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1878</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1879</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2356</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0</v>
      </c>
      <c r="K585" s="1661"/>
      <c r="L585" s="1625"/>
      <c r="M585" s="1661">
        <f>M568</f>
        <v>0</v>
      </c>
      <c r="N585" s="1661"/>
      <c r="O585" s="1625"/>
      <c r="P585" s="1661">
        <f>P568</f>
        <v>11322032</v>
      </c>
      <c r="Q585" s="1661"/>
      <c r="R585" s="1625"/>
      <c r="S585" s="1625"/>
      <c r="T585" s="1625"/>
      <c r="U585" s="1625"/>
      <c r="V585" s="1739"/>
      <c r="W585" s="1329"/>
      <c r="X585" s="1329"/>
    </row>
    <row r="586" spans="1:24">
      <c r="A586" s="1625"/>
      <c r="B586" s="1625" t="s">
        <v>2236</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2237</v>
      </c>
      <c r="C587" s="1625"/>
      <c r="D587" s="1625"/>
      <c r="E587" s="1625"/>
      <c r="F587" s="1625"/>
      <c r="G587" s="1625"/>
      <c r="H587" s="1625"/>
      <c r="I587" s="1625"/>
      <c r="J587" s="1661">
        <f>J585-J586</f>
        <v>0</v>
      </c>
      <c r="K587" s="1661"/>
      <c r="L587" s="1625"/>
      <c r="M587" s="1661">
        <f>M585</f>
        <v>0</v>
      </c>
      <c r="N587" s="1661"/>
      <c r="O587" s="1625"/>
      <c r="P587" s="1661">
        <f>P585-P586</f>
        <v>11322032</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DDA/QCT</v>
      </c>
      <c r="I588" s="1625">
        <f>'Part IV-A-Uses of Funds'!I152</f>
        <v>0</v>
      </c>
      <c r="J588" s="1788">
        <f>'Part IV-A-Uses of Funds'!J152</f>
        <v>0</v>
      </c>
      <c r="K588" s="1788">
        <f>'Part IV-A-Uses of Funds'!K152</f>
        <v>0</v>
      </c>
      <c r="L588" s="1625"/>
      <c r="M588" s="1788"/>
      <c r="N588" s="1788"/>
      <c r="O588" s="1625"/>
      <c r="P588" s="1788">
        <f>'Part IV-A-Uses of Funds'!P152</f>
        <v>1.3</v>
      </c>
      <c r="Q588" s="1788">
        <f>'Part IV-A-Uses of Funds'!Q152</f>
        <v>0</v>
      </c>
      <c r="R588" s="1625"/>
      <c r="S588" s="1625"/>
      <c r="T588" s="1625"/>
      <c r="U588" s="1625"/>
      <c r="V588" s="1739"/>
      <c r="W588" s="1329"/>
      <c r="X588" s="1329"/>
    </row>
    <row r="589" spans="1:24">
      <c r="A589" s="1625"/>
      <c r="B589" s="1625" t="s">
        <v>2070</v>
      </c>
      <c r="C589" s="1625"/>
      <c r="D589" s="1625"/>
      <c r="E589" s="1625"/>
      <c r="F589" s="1625"/>
      <c r="G589" s="1625"/>
      <c r="H589" s="1625"/>
      <c r="I589" s="1625"/>
      <c r="J589" s="1661">
        <f>J587*J588</f>
        <v>0</v>
      </c>
      <c r="K589" s="1661"/>
      <c r="L589" s="1625"/>
      <c r="M589" s="1661">
        <f>+M587</f>
        <v>0</v>
      </c>
      <c r="N589" s="1661"/>
      <c r="O589" s="1625"/>
      <c r="P589" s="1661">
        <f>P587*P588</f>
        <v>14718641.6</v>
      </c>
      <c r="Q589" s="1661"/>
      <c r="R589" s="1625"/>
      <c r="S589" s="1625"/>
      <c r="T589" s="1625"/>
      <c r="U589" s="1625"/>
      <c r="V589" s="1739"/>
      <c r="W589" s="1329"/>
      <c r="X589" s="1329"/>
    </row>
    <row r="590" spans="1:24">
      <c r="A590" s="1625"/>
      <c r="B590" s="1625" t="s">
        <v>2558</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2061</v>
      </c>
      <c r="C591" s="1625"/>
      <c r="D591" s="1625"/>
      <c r="E591" s="1625"/>
      <c r="F591" s="1625"/>
      <c r="G591" s="1625"/>
      <c r="H591" s="1625"/>
      <c r="I591" s="1625"/>
      <c r="J591" s="1661">
        <f>J589*J590</f>
        <v>0</v>
      </c>
      <c r="K591" s="1661"/>
      <c r="L591" s="1625"/>
      <c r="M591" s="1661">
        <f>M589*M590</f>
        <v>0</v>
      </c>
      <c r="N591" s="1661"/>
      <c r="O591" s="1625"/>
      <c r="P591" s="1661">
        <f>P589*P590</f>
        <v>14718641.6</v>
      </c>
      <c r="Q591" s="1661"/>
      <c r="R591" s="1625"/>
      <c r="S591" s="1625"/>
      <c r="T591" s="1625"/>
      <c r="U591" s="1625"/>
      <c r="V591" s="1739"/>
      <c r="W591" s="1329"/>
      <c r="X591" s="1329"/>
    </row>
    <row r="592" spans="1:24">
      <c r="A592" s="1625"/>
      <c r="B592" s="1625" t="s">
        <v>2062</v>
      </c>
      <c r="C592" s="1625"/>
      <c r="D592" s="1625"/>
      <c r="E592" s="1625"/>
      <c r="F592" s="1625"/>
      <c r="G592" s="1625"/>
      <c r="H592" s="1625"/>
      <c r="I592" s="1625"/>
      <c r="J592" s="1788">
        <f>'Part IV-A-Uses of Funds'!J156</f>
        <v>0</v>
      </c>
      <c r="K592" s="1788">
        <f>'Part IV-A-Uses of Funds'!K156</f>
        <v>0</v>
      </c>
      <c r="L592" s="1625"/>
      <c r="M592" s="1788">
        <f>'Part IV-A-Uses of Funds'!M156</f>
        <v>0</v>
      </c>
      <c r="N592" s="1788">
        <f>'Part IV-A-Uses of Funds'!N156</f>
        <v>0</v>
      </c>
      <c r="O592" s="1625"/>
      <c r="P592" s="1788">
        <f>'Part IV-A-Uses of Funds'!P156</f>
        <v>0.09</v>
      </c>
      <c r="Q592" s="1788">
        <f>'Part IV-A-Uses of Funds'!Q156</f>
        <v>0</v>
      </c>
      <c r="R592" s="1625"/>
      <c r="S592" s="1625"/>
      <c r="T592" s="1625"/>
      <c r="U592" s="1625"/>
      <c r="V592" s="1739"/>
      <c r="W592" s="1329"/>
      <c r="X592" s="1329"/>
    </row>
    <row r="593" spans="1:24">
      <c r="A593" s="1625"/>
      <c r="B593" s="1625" t="s">
        <v>2559</v>
      </c>
      <c r="C593" s="1625"/>
      <c r="D593" s="1625"/>
      <c r="E593" s="1625"/>
      <c r="F593" s="1625"/>
      <c r="G593" s="1625"/>
      <c r="H593" s="1625"/>
      <c r="I593" s="1625"/>
      <c r="J593" s="1661">
        <f>J591*J592</f>
        <v>0</v>
      </c>
      <c r="K593" s="1661"/>
      <c r="L593" s="1625"/>
      <c r="M593" s="1661">
        <f>M591*M592</f>
        <v>0</v>
      </c>
      <c r="N593" s="1661"/>
      <c r="O593" s="1625"/>
      <c r="P593" s="1661">
        <f>P591*P592</f>
        <v>1324677.7439999999</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1324677.7439999999</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4745</v>
      </c>
      <c r="C598" s="1625"/>
      <c r="D598" s="1625"/>
      <c r="E598" s="1625"/>
      <c r="F598" s="1625"/>
      <c r="G598" s="1748" t="str">
        <f>IF(J599&gt;J598,"TDC exceeds QAP PUCL!","")</f>
        <v/>
      </c>
      <c r="H598" s="1748"/>
      <c r="I598" s="1748"/>
      <c r="J598" s="1718">
        <f>'Part VIII-Threshold Criteria'!$P$63</f>
        <v>15349522</v>
      </c>
      <c r="K598" s="1718"/>
      <c r="L598" s="1718"/>
      <c r="M598" s="1792" t="s">
        <v>2764</v>
      </c>
      <c r="N598" s="1792"/>
      <c r="O598" s="1792"/>
      <c r="P598" s="1792"/>
      <c r="Q598" s="1792"/>
      <c r="R598" s="1792"/>
      <c r="S598" s="1792" t="s">
        <v>3700</v>
      </c>
      <c r="T598" s="1792"/>
      <c r="U598" s="1625"/>
      <c r="V598" s="1739"/>
      <c r="W598" s="1329"/>
      <c r="X598" s="1329"/>
    </row>
    <row r="599" spans="1:24">
      <c r="A599" s="1625"/>
      <c r="B599" s="1625" t="s">
        <v>4746</v>
      </c>
      <c r="C599" s="1625"/>
      <c r="D599" s="1625"/>
      <c r="E599" s="1625"/>
      <c r="F599" s="1625"/>
      <c r="G599" s="1625"/>
      <c r="H599" s="1625"/>
      <c r="I599" s="1625"/>
      <c r="J599" s="1661">
        <f>'Part IV-A-Uses of Funds'!J163</f>
        <v>15349522</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2000000</v>
      </c>
      <c r="K600" s="1661"/>
      <c r="L600" s="1661"/>
      <c r="M600" s="1792"/>
      <c r="N600" s="1792"/>
      <c r="O600" s="1792"/>
      <c r="P600" s="1792"/>
      <c r="Q600" s="1792"/>
      <c r="R600" s="1792"/>
      <c r="S600" s="1792"/>
      <c r="T600" s="1792"/>
      <c r="U600" s="1625"/>
      <c r="V600" s="1739"/>
      <c r="W600" s="1329"/>
      <c r="X600" s="1329"/>
    </row>
    <row r="601" spans="1:24" ht="13.5">
      <c r="A601" s="1625"/>
      <c r="B601" s="1625" t="s">
        <v>2248</v>
      </c>
      <c r="C601" s="1625"/>
      <c r="D601" s="1625"/>
      <c r="E601" s="1625"/>
      <c r="F601" s="1625"/>
      <c r="G601" s="1625"/>
      <c r="H601" s="1625"/>
      <c r="I601" s="1625"/>
      <c r="J601" s="1661">
        <f>+J599-J600</f>
        <v>13349522</v>
      </c>
      <c r="K601" s="1661"/>
      <c r="L601" s="1661"/>
      <c r="M601" s="1637" t="s">
        <v>2765</v>
      </c>
      <c r="N601" s="1637"/>
      <c r="O601" s="1793">
        <f>'Part III-Sources of Funds'!$I$41</f>
        <v>0</v>
      </c>
      <c r="P601" s="1793"/>
      <c r="Q601" s="1793"/>
      <c r="R601" s="1793"/>
      <c r="S601" s="1794" t="s">
        <v>1675</v>
      </c>
      <c r="T601" s="1795">
        <f>'Part IV-A-Uses of Funds'!T165</f>
        <v>0</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1334952.2</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4747</v>
      </c>
      <c r="C604" s="1625"/>
      <c r="D604" s="1625"/>
      <c r="E604" s="1625"/>
      <c r="F604" s="1625"/>
      <c r="G604" s="1625"/>
      <c r="H604" s="1625"/>
      <c r="I604" s="1625"/>
      <c r="J604" s="1796">
        <f>N604+Q604</f>
        <v>1.42</v>
      </c>
      <c r="K604" s="1796"/>
      <c r="L604" s="1796"/>
      <c r="M604" s="1630" t="s">
        <v>1301</v>
      </c>
      <c r="N604" s="1797">
        <f>'Part IV-A-Uses of Funds'!N168</f>
        <v>0.88</v>
      </c>
      <c r="O604" s="1797">
        <f>'Part IV-A-Uses of Funds'!O168</f>
        <v>0</v>
      </c>
      <c r="P604" s="1630" t="s">
        <v>618</v>
      </c>
      <c r="Q604" s="1797">
        <f>'Part IV-A-Uses of Funds'!Q168</f>
        <v>0.54</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940107.18309859151</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4748</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940107.18309859151</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4749</v>
      </c>
      <c r="C609" s="1625"/>
      <c r="D609" s="1625"/>
      <c r="E609" s="1625"/>
      <c r="F609" s="1625"/>
      <c r="G609" s="1625"/>
      <c r="H609" s="1625"/>
      <c r="I609" s="1625"/>
      <c r="J609" s="1720">
        <f>'Part IV-A-Uses of Funds'!J173</f>
        <v>940000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4750</v>
      </c>
      <c r="C611" s="1625"/>
      <c r="D611" s="1632"/>
      <c r="E611" s="1632"/>
      <c r="F611" s="1633"/>
      <c r="G611" s="1625"/>
      <c r="H611" s="1625"/>
      <c r="I611" s="1625"/>
      <c r="J611" s="1720">
        <f>IF(J609="",0,+MIN(J607,J609))</f>
        <v>940000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 A Work of Scope Spreadsheet is included in Tab 14 - Rehab Standards. The work of scope includes a breakout of the site work as well as the hard costs, contractor fees are based on allowable percentages
* This is a rehab project, the existing building has 150 units (dorms) and we will be converting it to 123 units, therefore there will be no impact fee associated with the project since it is grandfathered in</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2710</v>
      </c>
      <c r="X615" s="1799"/>
    </row>
    <row r="623" spans="1:24" ht="15.75">
      <c r="A623" s="1800" t="str">
        <f>CONCATENATE("PART FOUR (b) -  OTHER COSTS","  -  ",'Part I-Project Information'!$O$6," - ",'Part I-Project Information'!$F$34,"  -  ",'Part I-Project Information'!$F$38,"  -  ",'Part I-Project Information'!$J$39,",  ","County")</f>
        <v>PART FOUR (b) -  OTHER COSTS  -  2018-017 - Heritage Village at West Lake  -  Atlanta  -  Fulton,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3740</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4751</v>
      </c>
      <c r="B627" s="1803"/>
      <c r="C627" s="1803"/>
      <c r="D627" s="1803"/>
      <c r="E627" s="1801"/>
      <c r="F627" s="1804" t="s">
        <v>3731</v>
      </c>
      <c r="G627" s="1805"/>
      <c r="H627" s="1804" t="s">
        <v>3732</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3734</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3734</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3734</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3733</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3734</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f>'Part IV-A-Uses of Funds'!$C$62</f>
        <v>0</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3734</v>
      </c>
      <c r="B656" s="1813">
        <f>'Part IV-A-Uses of Funds'!$G$62</f>
        <v>0</v>
      </c>
      <c r="C656" s="1812" t="s">
        <v>1803</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f>'Part IV-A-Uses of Funds'!$C$63</f>
        <v>0</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3734</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3734</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3734</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4752</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3734</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3734</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4753</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3734</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3734</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4754</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3734</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2018-017 Heritage Village at West Lake,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3833</v>
      </c>
    </row>
    <row r="716" spans="1:13" ht="25.5">
      <c r="A716" s="1821" t="s">
        <v>622</v>
      </c>
      <c r="B716" s="1821" t="s">
        <v>2243</v>
      </c>
      <c r="F716" s="683" t="s">
        <v>2536</v>
      </c>
      <c r="I716" s="1822" t="str">
        <f>'Part V-Utility Allowances'!I7</f>
        <v>Dominion Due Diligence Group</v>
      </c>
      <c r="J716" s="1822"/>
      <c r="K716" s="1822"/>
      <c r="L716" s="1822"/>
      <c r="M716" s="1822"/>
    </row>
    <row r="717" spans="1:13">
      <c r="A717" s="1821"/>
      <c r="F717" s="683" t="s">
        <v>642</v>
      </c>
      <c r="I717" s="1823">
        <f>'Part V-Utility Allowances'!I8</f>
        <v>43227</v>
      </c>
      <c r="J717" s="1823">
        <f>'Part V-Utility Allowances'!J8</f>
        <v>0</v>
      </c>
      <c r="K717" s="1824" t="s">
        <v>545</v>
      </c>
      <c r="L717" s="1716" t="str">
        <f>'Part V-Utility Allowances'!L8</f>
        <v>3+ 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1864</v>
      </c>
      <c r="H720" s="1821"/>
      <c r="I720" s="1826" t="s">
        <v>573</v>
      </c>
      <c r="J720" s="1826">
        <v>1</v>
      </c>
      <c r="K720" s="1826">
        <v>2</v>
      </c>
      <c r="L720" s="1826">
        <v>3</v>
      </c>
      <c r="M720" s="1826">
        <v>4</v>
      </c>
    </row>
    <row r="721" spans="1:13">
      <c r="B721" s="683" t="s">
        <v>1866</v>
      </c>
      <c r="D721" s="1716" t="str">
        <f>'Part V-Utility Allowances'!D12</f>
        <v>Electric</v>
      </c>
      <c r="E721" s="1716">
        <f>'Part V-Utility Allowances'!E12</f>
        <v>0</v>
      </c>
      <c r="F721" s="1827" t="str">
        <f>'Part V-Utility Allowances'!F12</f>
        <v>X</v>
      </c>
      <c r="G721" s="1827">
        <f>'Part V-Utility Allowances'!G12</f>
        <v>0</v>
      </c>
      <c r="I721" s="1824">
        <f>'Part V-Utility Allowances'!I12</f>
        <v>2.92</v>
      </c>
      <c r="J721" s="1824">
        <f>'Part V-Utility Allowances'!J12</f>
        <v>4.58</v>
      </c>
      <c r="K721" s="1824">
        <f>'Part V-Utility Allowances'!K12</f>
        <v>0</v>
      </c>
      <c r="L721" s="1824">
        <f>'Part V-Utility Allowances'!L12</f>
        <v>0</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1.75</v>
      </c>
      <c r="J722" s="1824">
        <f>'Part V-Utility Allowances'!J13</f>
        <v>1.75</v>
      </c>
      <c r="K722" s="1824">
        <f>'Part V-Utility Allowances'!K13</f>
        <v>0</v>
      </c>
      <c r="L722" s="1824">
        <f>'Part V-Utility Allowances'!L13</f>
        <v>0</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7.17</v>
      </c>
      <c r="J723" s="1824">
        <f>'Part V-Utility Allowances'!J14</f>
        <v>7.33</v>
      </c>
      <c r="K723" s="1824">
        <f>'Part V-Utility Allowances'!K14</f>
        <v>0</v>
      </c>
      <c r="L723" s="1824">
        <f>'Part V-Utility Allowances'!L14</f>
        <v>0</v>
      </c>
      <c r="M723" s="1824">
        <f>'Part V-Utility Allowances'!M14</f>
        <v>0</v>
      </c>
    </row>
    <row r="724" spans="1:13">
      <c r="B724" s="683" t="s">
        <v>471</v>
      </c>
      <c r="D724" s="683" t="s">
        <v>1608</v>
      </c>
      <c r="F724" s="1827" t="str">
        <f>'Part V-Utility Allowances'!F15</f>
        <v>X</v>
      </c>
      <c r="G724" s="1827">
        <f>'Part V-Utility Allowances'!G15</f>
        <v>0</v>
      </c>
      <c r="I724" s="1824">
        <f>'Part V-Utility Allowances'!I15</f>
        <v>3.42</v>
      </c>
      <c r="J724" s="1824">
        <f>'Part V-Utility Allowances'!J15</f>
        <v>4.42</v>
      </c>
      <c r="K724" s="1824">
        <f>'Part V-Utility Allowances'!K15</f>
        <v>0</v>
      </c>
      <c r="L724" s="1824">
        <f>'Part V-Utility Allowances'!L15</f>
        <v>0</v>
      </c>
      <c r="M724" s="1824">
        <f>'Part V-Utility Allowances'!M15</f>
        <v>0</v>
      </c>
    </row>
    <row r="725" spans="1:13">
      <c r="B725" s="683" t="s">
        <v>3830</v>
      </c>
      <c r="D725" s="683" t="s">
        <v>1608</v>
      </c>
      <c r="F725" s="1827">
        <f>'Part V-Utility Allowances'!F16</f>
        <v>0</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3831</v>
      </c>
      <c r="D726" s="683" t="s">
        <v>1608</v>
      </c>
      <c r="F726" s="1827" t="str">
        <f>'Part V-Utility Allowances'!F17</f>
        <v>X</v>
      </c>
      <c r="G726" s="1827">
        <f>'Part V-Utility Allowances'!G17</f>
        <v>0</v>
      </c>
      <c r="I726" s="1824">
        <f>'Part V-Utility Allowances'!I17</f>
        <v>2.16</v>
      </c>
      <c r="J726" s="1824">
        <f>'Part V-Utility Allowances'!J17</f>
        <v>2.16</v>
      </c>
      <c r="K726" s="1824">
        <f>'Part V-Utility Allowances'!K17</f>
        <v>0</v>
      </c>
      <c r="L726" s="1824">
        <f>'Part V-Utility Allowances'!L17</f>
        <v>0</v>
      </c>
      <c r="M726" s="1824">
        <f>'Part V-Utility Allowances'!M17</f>
        <v>0</v>
      </c>
    </row>
    <row r="727" spans="1:13">
      <c r="B727" s="683" t="s">
        <v>3832</v>
      </c>
      <c r="D727" s="683" t="s">
        <v>1608</v>
      </c>
      <c r="F727" s="1827" t="str">
        <f>'Part V-Utility Allowances'!F18</f>
        <v>X</v>
      </c>
      <c r="G727" s="1827">
        <f>'Part V-Utility Allowances'!G18</f>
        <v>0</v>
      </c>
      <c r="I727" s="1824">
        <f>'Part V-Utility Allowances'!I18</f>
        <v>20.91</v>
      </c>
      <c r="J727" s="1824">
        <f>'Part V-Utility Allowances'!J18</f>
        <v>23.01</v>
      </c>
      <c r="K727" s="1824">
        <f>'Part V-Utility Allowances'!K18</f>
        <v>0</v>
      </c>
      <c r="L727" s="1824">
        <f>'Part V-Utility Allowances'!L18</f>
        <v>0</v>
      </c>
      <c r="M727" s="1824">
        <f>'Part V-Utility Allowances'!M18</f>
        <v>0</v>
      </c>
    </row>
    <row r="728" spans="1:13">
      <c r="B728" s="683" t="s">
        <v>1382</v>
      </c>
      <c r="D728" s="683" t="s">
        <v>4543</v>
      </c>
      <c r="E728" s="1824" t="str">
        <f>'Part V-Utility Allowances'!E19</f>
        <v>Yes</v>
      </c>
      <c r="F728" s="1827" t="str">
        <f>'Part V-Utility Allowances'!F19</f>
        <v>X</v>
      </c>
      <c r="G728" s="1827">
        <f>'Part V-Utility Allowances'!G19</f>
        <v>0</v>
      </c>
      <c r="I728" s="1824">
        <f>'Part V-Utility Allowances'!I19</f>
        <v>75</v>
      </c>
      <c r="J728" s="1824">
        <f>'Part V-Utility Allowances'!J19</f>
        <v>75</v>
      </c>
      <c r="K728" s="1824">
        <f>'Part V-Utility Allowances'!K19</f>
        <v>0</v>
      </c>
      <c r="L728" s="1824">
        <f>'Part V-Utility Allowances'!L19</f>
        <v>0</v>
      </c>
      <c r="M728" s="1824">
        <f>'Part V-Utility Allowances'!M19</f>
        <v>0</v>
      </c>
    </row>
    <row r="729" spans="1:13">
      <c r="B729" s="683" t="s">
        <v>1865</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113.33</v>
      </c>
      <c r="J730" s="1826">
        <f>IF(SUM(J721:J729)=0,0,IF(OR($D721="&lt;&lt;Select Fuel &gt;&gt;",$D722="&lt;&lt;Select Fuel &gt;&gt;",$D723="&lt;&lt;Select Fuel &gt;&gt;"),"Select Fuel",IF($E728="&lt;Select&gt;","Submeter?",SUM(J721:J729))))</f>
        <v>118.25</v>
      </c>
      <c r="K730" s="1826">
        <f>IF(SUM(K721:K729)=0,0,IF(OR($D721="&lt;&lt;Select Fuel &gt;&gt;",$D722="&lt;&lt;Select Fuel &gt;&gt;",$D723="&lt;&lt;Select Fuel &gt;&gt;"),"Select Fuel",IF($E728="&lt;Select&gt;","Submeter?",SUM(K721:K729))))</f>
        <v>0</v>
      </c>
      <c r="L730" s="1826">
        <f>IF(SUM(L721:L729)=0,0,IF(OR($D721="&lt;&lt;Select Fuel &gt;&gt;",$D722="&lt;&lt;Select Fuel &gt;&gt;",$D723="&lt;&lt;Select Fuel &gt;&gt;"),"Select Fuel",IF($E728="&lt;Select&gt;","Submeter?",SUM(L721:L729))))</f>
        <v>0</v>
      </c>
      <c r="M730" s="1826">
        <f>IF(SUM(M721:M729)=0,0,IF(OR($D721="&lt;&lt;Select Fuel &gt;&gt;",$D722="&lt;&lt;Select Fuel &gt;&gt;",$D723="&lt;&lt;Select Fuel &gt;&gt;"),"Select Fuel",IF($E728="&lt;Select&gt;","Submeter?",SUM(M721:M729))))</f>
        <v>0</v>
      </c>
    </row>
    <row r="732" spans="1:13" ht="25.5">
      <c r="A732" s="1821" t="s">
        <v>748</v>
      </c>
      <c r="B732" s="1821" t="s">
        <v>2244</v>
      </c>
      <c r="F732" s="683" t="s">
        <v>2536</v>
      </c>
      <c r="I732" s="1822" t="str">
        <f>'Part V-Utility Allowances'!I23</f>
        <v>Dominion Due Diligence Group</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43227</v>
      </c>
      <c r="J733" s="1823">
        <f>'Part V-Utility Allowances'!J24</f>
        <v>0</v>
      </c>
      <c r="K733" s="1824" t="s">
        <v>545</v>
      </c>
      <c r="L733" s="1716" t="str">
        <f>'Part V-Utility Allowances'!L24</f>
        <v>3+ Story</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1864</v>
      </c>
      <c r="H736" s="1821"/>
      <c r="I736" s="1826" t="s">
        <v>573</v>
      </c>
      <c r="J736" s="1826">
        <v>1</v>
      </c>
      <c r="K736" s="1826">
        <v>2</v>
      </c>
      <c r="L736" s="1826">
        <v>3</v>
      </c>
      <c r="M736" s="1826">
        <v>4</v>
      </c>
    </row>
    <row r="737" spans="1:13">
      <c r="B737" s="683" t="s">
        <v>1866</v>
      </c>
      <c r="D737" s="1716" t="str">
        <f>'Part V-Utility Allowances'!D28</f>
        <v>Electric</v>
      </c>
      <c r="E737" s="1716">
        <f>'Part V-Utility Allowances'!E28</f>
        <v>0</v>
      </c>
      <c r="F737" s="1827" t="str">
        <f>'Part V-Utility Allowances'!F28</f>
        <v>X</v>
      </c>
      <c r="G737" s="1827">
        <f>'Part V-Utility Allowances'!G28</f>
        <v>0</v>
      </c>
      <c r="I737" s="1824">
        <f>'Part V-Utility Allowances'!I28</f>
        <v>4.66</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Electric</v>
      </c>
      <c r="E738" s="1716">
        <f>'Part V-Utility Allowances'!E29</f>
        <v>0</v>
      </c>
      <c r="F738" s="1827" t="str">
        <f>'Part V-Utility Allowances'!F29</f>
        <v>X</v>
      </c>
      <c r="G738" s="1827">
        <f>'Part V-Utility Allowances'!G29</f>
        <v>0</v>
      </c>
      <c r="I738" s="1824">
        <f>'Part V-Utility Allowances'!I29</f>
        <v>1.75</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Electric</v>
      </c>
      <c r="E739" s="1716">
        <f>'Part V-Utility Allowances'!E30</f>
        <v>0</v>
      </c>
      <c r="F739" s="1827" t="str">
        <f>'Part V-Utility Allowances'!F30</f>
        <v>X</v>
      </c>
      <c r="G739" s="1827">
        <f>'Part V-Utility Allowances'!G30</f>
        <v>0</v>
      </c>
      <c r="I739" s="1824">
        <f>'Part V-Utility Allowances'!I30</f>
        <v>7.17</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t="str">
        <f>'Part V-Utility Allowances'!F31</f>
        <v>X</v>
      </c>
      <c r="G740" s="1827">
        <f>'Part V-Utility Allowances'!G31</f>
        <v>0</v>
      </c>
      <c r="I740" s="1824">
        <f>'Part V-Utility Allowances'!I31</f>
        <v>3.92</v>
      </c>
      <c r="J740" s="1824">
        <f>'Part V-Utility Allowances'!J31</f>
        <v>0</v>
      </c>
      <c r="K740" s="1824">
        <f>'Part V-Utility Allowances'!K31</f>
        <v>0</v>
      </c>
      <c r="L740" s="1824">
        <f>'Part V-Utility Allowances'!L31</f>
        <v>0</v>
      </c>
      <c r="M740" s="1824">
        <f>'Part V-Utility Allowances'!M31</f>
        <v>0</v>
      </c>
    </row>
    <row r="741" spans="1:13">
      <c r="B741" s="683" t="s">
        <v>3830</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3831</v>
      </c>
      <c r="D742" s="683" t="s">
        <v>1608</v>
      </c>
      <c r="F742" s="1827" t="str">
        <f>'Part V-Utility Allowances'!F33</f>
        <v>X</v>
      </c>
      <c r="G742" s="1827">
        <f>'Part V-Utility Allowances'!G33</f>
        <v>0</v>
      </c>
      <c r="I742" s="1824">
        <f>'Part V-Utility Allowances'!I33</f>
        <v>2.16</v>
      </c>
      <c r="J742" s="1824">
        <f>'Part V-Utility Allowances'!J33</f>
        <v>0</v>
      </c>
      <c r="K742" s="1824">
        <f>'Part V-Utility Allowances'!K33</f>
        <v>0</v>
      </c>
      <c r="L742" s="1824">
        <f>'Part V-Utility Allowances'!L33</f>
        <v>0</v>
      </c>
      <c r="M742" s="1824">
        <f>'Part V-Utility Allowances'!M33</f>
        <v>0</v>
      </c>
    </row>
    <row r="743" spans="1:13">
      <c r="B743" s="683" t="s">
        <v>3832</v>
      </c>
      <c r="D743" s="683" t="s">
        <v>1608</v>
      </c>
      <c r="F743" s="1827" t="str">
        <f>'Part V-Utility Allowances'!F34</f>
        <v>X</v>
      </c>
      <c r="G743" s="1827">
        <f>'Part V-Utility Allowances'!G34</f>
        <v>0</v>
      </c>
      <c r="I743" s="1824">
        <f>'Part V-Utility Allowances'!I34</f>
        <v>20.92</v>
      </c>
      <c r="J743" s="1824">
        <f>'Part V-Utility Allowances'!J34</f>
        <v>0</v>
      </c>
      <c r="K743" s="1824">
        <f>'Part V-Utility Allowances'!K34</f>
        <v>0</v>
      </c>
      <c r="L743" s="1824">
        <f>'Part V-Utility Allowances'!L34</f>
        <v>0</v>
      </c>
      <c r="M743" s="1824">
        <f>'Part V-Utility Allowances'!M34</f>
        <v>0</v>
      </c>
    </row>
    <row r="744" spans="1:13">
      <c r="B744" s="683" t="s">
        <v>1382</v>
      </c>
      <c r="D744" s="683" t="s">
        <v>4543</v>
      </c>
      <c r="E744" s="1824" t="str">
        <f>'Part V-Utility Allowances'!E35</f>
        <v>Yes</v>
      </c>
      <c r="F744" s="1827" t="str">
        <f>'Part V-Utility Allowances'!F35</f>
        <v>X</v>
      </c>
      <c r="G744" s="1827">
        <f>'Part V-Utility Allowances'!G35</f>
        <v>0</v>
      </c>
      <c r="I744" s="1824">
        <f>'Part V-Utility Allowances'!I35</f>
        <v>75</v>
      </c>
      <c r="J744" s="1824">
        <f>'Part V-Utility Allowances'!J35</f>
        <v>0</v>
      </c>
      <c r="K744" s="1824">
        <f>'Part V-Utility Allowances'!K35</f>
        <v>0</v>
      </c>
      <c r="L744" s="1824">
        <f>'Part V-Utility Allowances'!L35</f>
        <v>0</v>
      </c>
      <c r="M744" s="1824">
        <f>'Part V-Utility Allowances'!M35</f>
        <v>0</v>
      </c>
    </row>
    <row r="745" spans="1:13">
      <c r="B745" s="683" t="s">
        <v>1865</v>
      </c>
      <c r="F745" s="1827">
        <f>'Part V-Utility Allowances'!F36</f>
        <v>0</v>
      </c>
      <c r="G745" s="1827" t="str">
        <f>'Part V-Utility Allowances'!G36</f>
        <v>X</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115.58</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4544</v>
      </c>
      <c r="F748" s="1824"/>
      <c r="G748" s="1824"/>
      <c r="I748" s="1826"/>
      <c r="J748" s="1826"/>
      <c r="K748" s="1826"/>
      <c r="L748" s="1826"/>
      <c r="M748" s="1826"/>
    </row>
    <row r="749" spans="1:13">
      <c r="A749" s="1821"/>
      <c r="B749" s="1821" t="s">
        <v>577</v>
      </c>
    </row>
    <row r="750" spans="1:13" ht="409.5">
      <c r="B750" s="1329" t="str">
        <f>'Part V-Utility Allowances'!B41</f>
        <v>Other electric includes the $10 base charge and "Other Electric" line from the Dominion Allowance spreadsheet. Schedule #1 Efficiency Units are 600 sq. ft and Schedule #2 Efficiency Units are 520 sq. ft. 
Note: Units described by Dominion in Utility Allowance Calculation Report as 1BR/Sm-B is the 520 sq.ft. efficiency and 1BR/Sm-C is the 600 sq.ft.efficiency.</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2018-017 Heritage Village at West Lake,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2018-017 Heritage Village at West Lake,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2382</v>
      </c>
      <c r="D760" s="1631" t="s">
        <v>3593</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2456</v>
      </c>
      <c r="FD760" s="1829" t="s">
        <v>2457</v>
      </c>
      <c r="FE760" s="1829" t="s">
        <v>2458</v>
      </c>
      <c r="FF760" s="1829" t="s">
        <v>2459</v>
      </c>
      <c r="FG760" s="1829" t="s">
        <v>490</v>
      </c>
      <c r="FH760" s="1829" t="s">
        <v>2456</v>
      </c>
      <c r="FI760" s="1829" t="s">
        <v>2457</v>
      </c>
      <c r="FJ760" s="1829" t="s">
        <v>2458</v>
      </c>
      <c r="FK760" s="1829" t="s">
        <v>2459</v>
      </c>
      <c r="FL760" s="1831"/>
      <c r="FM760" s="1831"/>
      <c r="FN760" s="1831"/>
      <c r="FO760" s="1831"/>
      <c r="FP760" s="1831"/>
      <c r="FQ760" s="1831"/>
      <c r="FR760" s="1831"/>
      <c r="FS760" s="1831"/>
      <c r="FT760" s="1831"/>
      <c r="FU760" s="1831"/>
      <c r="FV760" s="1829" t="s">
        <v>490</v>
      </c>
      <c r="FW760" s="1829" t="s">
        <v>2456</v>
      </c>
      <c r="FX760" s="1829" t="s">
        <v>2457</v>
      </c>
      <c r="FY760" s="1829" t="s">
        <v>2458</v>
      </c>
      <c r="FZ760" s="1829" t="s">
        <v>2459</v>
      </c>
      <c r="GA760" s="1829" t="s">
        <v>490</v>
      </c>
      <c r="GB760" s="1829" t="s">
        <v>2456</v>
      </c>
      <c r="GC760" s="1829" t="s">
        <v>2457</v>
      </c>
      <c r="GD760" s="1829" t="s">
        <v>2458</v>
      </c>
      <c r="GE760" s="1829" t="s">
        <v>2459</v>
      </c>
      <c r="GF760" s="1829" t="s">
        <v>490</v>
      </c>
      <c r="GG760" s="1829" t="s">
        <v>2456</v>
      </c>
      <c r="GH760" s="1829" t="s">
        <v>2457</v>
      </c>
      <c r="GI760" s="1829" t="s">
        <v>2458</v>
      </c>
      <c r="GJ760" s="1829" t="s">
        <v>2459</v>
      </c>
      <c r="GK760" s="1829" t="s">
        <v>490</v>
      </c>
      <c r="GL760" s="1829" t="s">
        <v>2456</v>
      </c>
      <c r="GM760" s="1829" t="s">
        <v>2457</v>
      </c>
      <c r="GN760" s="1829" t="s">
        <v>2458</v>
      </c>
      <c r="GO760" s="1829" t="s">
        <v>2459</v>
      </c>
      <c r="GP760" s="1829" t="s">
        <v>490</v>
      </c>
      <c r="GQ760" s="1829" t="s">
        <v>2456</v>
      </c>
      <c r="GR760" s="1829" t="s">
        <v>2457</v>
      </c>
      <c r="GS760" s="1829" t="s">
        <v>2458</v>
      </c>
      <c r="GT760" s="1829" t="s">
        <v>2459</v>
      </c>
      <c r="GU760" s="1829" t="s">
        <v>490</v>
      </c>
      <c r="GV760" s="1829" t="s">
        <v>2456</v>
      </c>
      <c r="GW760" s="1829" t="s">
        <v>2457</v>
      </c>
      <c r="GX760" s="1829" t="s">
        <v>2458</v>
      </c>
      <c r="GY760" s="1829" t="s">
        <v>2459</v>
      </c>
      <c r="GZ760" s="1829" t="s">
        <v>490</v>
      </c>
      <c r="HA760" s="1829" t="s">
        <v>2456</v>
      </c>
      <c r="HB760" s="1829" t="s">
        <v>2457</v>
      </c>
      <c r="HC760" s="1829" t="s">
        <v>2458</v>
      </c>
      <c r="HD760" s="1829" t="s">
        <v>2459</v>
      </c>
      <c r="HE760" s="1829" t="s">
        <v>490</v>
      </c>
      <c r="HF760" s="1829" t="s">
        <v>2456</v>
      </c>
      <c r="HG760" s="1829" t="s">
        <v>2457</v>
      </c>
      <c r="HH760" s="1829" t="s">
        <v>2458</v>
      </c>
      <c r="HI760" s="1829" t="s">
        <v>2459</v>
      </c>
      <c r="HJ760" s="1829" t="s">
        <v>490</v>
      </c>
      <c r="HK760" s="1829" t="s">
        <v>2456</v>
      </c>
      <c r="HL760" s="1829" t="s">
        <v>2457</v>
      </c>
      <c r="HM760" s="1829" t="s">
        <v>2458</v>
      </c>
      <c r="HN760" s="1829" t="s">
        <v>2459</v>
      </c>
      <c r="HO760" s="1829" t="s">
        <v>490</v>
      </c>
      <c r="HP760" s="1829" t="s">
        <v>2456</v>
      </c>
      <c r="HQ760" s="1829" t="s">
        <v>2457</v>
      </c>
      <c r="HR760" s="1829" t="s">
        <v>2458</v>
      </c>
      <c r="HS760" s="1829" t="s">
        <v>2459</v>
      </c>
      <c r="HT760" s="1829" t="s">
        <v>490</v>
      </c>
      <c r="HU760" s="1829" t="s">
        <v>2456</v>
      </c>
      <c r="HV760" s="1829" t="s">
        <v>2457</v>
      </c>
      <c r="HW760" s="1829" t="s">
        <v>2458</v>
      </c>
      <c r="HX760" s="1829" t="s">
        <v>2459</v>
      </c>
      <c r="HY760" s="1829" t="s">
        <v>490</v>
      </c>
      <c r="HZ760" s="1829" t="s">
        <v>2456</v>
      </c>
      <c r="IA760" s="1829" t="s">
        <v>2457</v>
      </c>
      <c r="IB760" s="1829" t="s">
        <v>2458</v>
      </c>
      <c r="IC760" s="1829" t="s">
        <v>2459</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3445</v>
      </c>
      <c r="JD760" s="1822" t="s">
        <v>3446</v>
      </c>
      <c r="JE760" s="1822" t="s">
        <v>3447</v>
      </c>
      <c r="JF760" s="1822" t="s">
        <v>3448</v>
      </c>
      <c r="JG760" s="1822" t="s">
        <v>3449</v>
      </c>
    </row>
    <row r="761" spans="1:277" s="1629" customFormat="1" ht="3" customHeight="1">
      <c r="B761" s="1818"/>
      <c r="D761" s="1818"/>
      <c r="P761" s="1832" t="s">
        <v>4755</v>
      </c>
      <c r="Q761" s="1833"/>
      <c r="R761" s="1834"/>
      <c r="S761" s="1834"/>
      <c r="T761" s="1834"/>
      <c r="U761" s="1834"/>
      <c r="W761" s="1752" t="s">
        <v>928</v>
      </c>
      <c r="X761" s="1752" t="s">
        <v>764</v>
      </c>
      <c r="Y761" s="1752" t="s">
        <v>765</v>
      </c>
      <c r="Z761" s="1752" t="s">
        <v>766</v>
      </c>
      <c r="AA761" s="1752" t="s">
        <v>767</v>
      </c>
      <c r="AB761" s="1752" t="s">
        <v>929</v>
      </c>
      <c r="AC761" s="1752" t="s">
        <v>2326</v>
      </c>
      <c r="AD761" s="1752" t="s">
        <v>2327</v>
      </c>
      <c r="AE761" s="1752" t="s">
        <v>2328</v>
      </c>
      <c r="AF761" s="1752" t="s">
        <v>2329</v>
      </c>
      <c r="AG761" s="1752" t="s">
        <v>930</v>
      </c>
      <c r="AH761" s="1752" t="s">
        <v>2330</v>
      </c>
      <c r="AI761" s="1752" t="s">
        <v>2331</v>
      </c>
      <c r="AJ761" s="1752" t="s">
        <v>2332</v>
      </c>
      <c r="AK761" s="1752" t="s">
        <v>2333</v>
      </c>
      <c r="AL761" s="1752" t="s">
        <v>130</v>
      </c>
      <c r="AM761" s="1752" t="s">
        <v>2334</v>
      </c>
      <c r="AN761" s="1752" t="s">
        <v>2335</v>
      </c>
      <c r="AO761" s="1752" t="s">
        <v>2336</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2446</v>
      </c>
      <c r="BV761" s="1752" t="s">
        <v>2447</v>
      </c>
      <c r="BW761" s="1752" t="s">
        <v>2448</v>
      </c>
      <c r="BX761" s="1752" t="s">
        <v>2449</v>
      </c>
      <c r="BY761" s="1752" t="s">
        <v>2450</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2445</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2224</v>
      </c>
      <c r="EN761" s="1822" t="s">
        <v>2225</v>
      </c>
      <c r="EO761" s="1822" t="s">
        <v>2226</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2540</v>
      </c>
      <c r="IF761" s="1822" t="s">
        <v>2541</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1860</v>
      </c>
      <c r="E762" s="1818"/>
      <c r="G762" s="1828" t="str">
        <f>'Part VI-Revenues &amp; Expenses'!G5</f>
        <v>Floating</v>
      </c>
      <c r="H762" s="1818"/>
      <c r="I762" s="1836" t="s">
        <v>806</v>
      </c>
      <c r="J762" s="1836" t="s">
        <v>3588</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3440</v>
      </c>
      <c r="JI762" s="1834" t="s">
        <v>3441</v>
      </c>
      <c r="JJ762" s="1834" t="s">
        <v>3442</v>
      </c>
      <c r="JK762" s="1834" t="s">
        <v>3443</v>
      </c>
      <c r="JL762" s="1834" t="s">
        <v>3444</v>
      </c>
      <c r="JM762" s="1822" t="s">
        <v>3454</v>
      </c>
      <c r="JN762" s="1822" t="s">
        <v>3456</v>
      </c>
      <c r="JO762" s="1822" t="s">
        <v>3457</v>
      </c>
      <c r="JP762" s="1822" t="s">
        <v>3458</v>
      </c>
      <c r="JQ762" s="1822" t="s">
        <v>3459</v>
      </c>
    </row>
    <row r="763" spans="1:277" s="1629" customFormat="1" ht="13.15" customHeight="1">
      <c r="A763" s="1835"/>
      <c r="B763" s="1838" t="s">
        <v>1818</v>
      </c>
      <c r="E763" s="1818"/>
      <c r="F763" s="1824" t="str">
        <f>'Part VI-Revenues &amp; Expenses'!F6</f>
        <v>No</v>
      </c>
      <c r="G763" s="1836" t="s">
        <v>3690</v>
      </c>
      <c r="H763" s="1832" t="s">
        <v>3920</v>
      </c>
      <c r="I763" s="1836" t="s">
        <v>807</v>
      </c>
      <c r="J763" s="1836" t="s">
        <v>3693</v>
      </c>
      <c r="K763" s="1834"/>
      <c r="L763" s="1834"/>
      <c r="M763" s="1839" t="str">
        <f>'Part I-Project Information'!$O$40</f>
        <v>Atlanta-Sandy Springs-Marietta</v>
      </c>
      <c r="N763" s="1839"/>
      <c r="O763" s="1840">
        <f>VLOOKUP('Part I-Project Information'!$O$40,'DCA Underwriting Assumptions'!$C$155:$D$265,2)</f>
        <v>69700</v>
      </c>
      <c r="P763" s="1832"/>
      <c r="Q763" s="1833"/>
      <c r="S763" s="1818" t="s">
        <v>2715</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3691</v>
      </c>
      <c r="H764" s="1832"/>
      <c r="I764" s="1792" t="s">
        <v>3879</v>
      </c>
      <c r="J764" s="1836" t="s">
        <v>3694</v>
      </c>
      <c r="K764" s="1834"/>
      <c r="L764" s="1834"/>
      <c r="P764" s="1832"/>
      <c r="Q764" s="1833"/>
      <c r="R764" s="1834"/>
      <c r="S764" s="1841"/>
      <c r="T764" s="1842" t="s">
        <v>2712</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3691</v>
      </c>
      <c r="I765" s="1792"/>
      <c r="J765" s="1836" t="s">
        <v>4756</v>
      </c>
      <c r="K765" s="1844" t="s">
        <v>146</v>
      </c>
      <c r="L765" s="1844"/>
      <c r="M765" s="1836" t="s">
        <v>2383</v>
      </c>
      <c r="N765" s="1836" t="s">
        <v>537</v>
      </c>
      <c r="O765" s="1836" t="s">
        <v>385</v>
      </c>
      <c r="P765" s="1832"/>
      <c r="Q765" s="1844" t="s">
        <v>3598</v>
      </c>
      <c r="R765" s="1844"/>
      <c r="S765" s="1836" t="s">
        <v>2711</v>
      </c>
      <c r="T765" s="1836" t="s">
        <v>2713</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2456</v>
      </c>
      <c r="EY765" s="1824" t="s">
        <v>2457</v>
      </c>
      <c r="EZ765" s="1824" t="s">
        <v>2458</v>
      </c>
      <c r="FA765" s="1824" t="s">
        <v>2459</v>
      </c>
      <c r="FB765" s="1822" t="s">
        <v>2513</v>
      </c>
      <c r="FC765" s="1822" t="s">
        <v>2513</v>
      </c>
      <c r="FD765" s="1822" t="s">
        <v>2513</v>
      </c>
      <c r="FE765" s="1822" t="s">
        <v>2513</v>
      </c>
      <c r="FF765" s="1822" t="s">
        <v>2513</v>
      </c>
      <c r="FG765" s="1822" t="s">
        <v>3388</v>
      </c>
      <c r="FH765" s="1822" t="s">
        <v>3388</v>
      </c>
      <c r="FI765" s="1822" t="s">
        <v>3388</v>
      </c>
      <c r="FJ765" s="1822" t="s">
        <v>3388</v>
      </c>
      <c r="FK765" s="1822" t="s">
        <v>3388</v>
      </c>
      <c r="FL765" s="1824" t="s">
        <v>573</v>
      </c>
      <c r="FM765" s="1824" t="s">
        <v>2456</v>
      </c>
      <c r="FN765" s="1824" t="s">
        <v>2457</v>
      </c>
      <c r="FO765" s="1824" t="s">
        <v>2458</v>
      </c>
      <c r="FP765" s="1824" t="s">
        <v>2459</v>
      </c>
      <c r="FQ765" s="1824" t="s">
        <v>573</v>
      </c>
      <c r="FR765" s="1824" t="s">
        <v>2456</v>
      </c>
      <c r="FS765" s="1824" t="s">
        <v>2457</v>
      </c>
      <c r="FT765" s="1824" t="s">
        <v>2458</v>
      </c>
      <c r="FU765" s="1824" t="s">
        <v>2459</v>
      </c>
      <c r="FV765" s="1822" t="s">
        <v>2515</v>
      </c>
      <c r="FW765" s="1822" t="s">
        <v>2515</v>
      </c>
      <c r="FX765" s="1822" t="s">
        <v>2515</v>
      </c>
      <c r="FY765" s="1822" t="s">
        <v>2515</v>
      </c>
      <c r="FZ765" s="1822" t="s">
        <v>2515</v>
      </c>
      <c r="GA765" s="1822" t="s">
        <v>3384</v>
      </c>
      <c r="GB765" s="1822" t="s">
        <v>3384</v>
      </c>
      <c r="GC765" s="1822" t="s">
        <v>3384</v>
      </c>
      <c r="GD765" s="1822" t="s">
        <v>3384</v>
      </c>
      <c r="GE765" s="1822" t="s">
        <v>3384</v>
      </c>
      <c r="GF765" s="1822" t="s">
        <v>360</v>
      </c>
      <c r="GG765" s="1822" t="s">
        <v>360</v>
      </c>
      <c r="GH765" s="1822" t="s">
        <v>360</v>
      </c>
      <c r="GI765" s="1822" t="s">
        <v>360</v>
      </c>
      <c r="GJ765" s="1822" t="s">
        <v>360</v>
      </c>
      <c r="GK765" s="1822" t="s">
        <v>3383</v>
      </c>
      <c r="GL765" s="1822" t="s">
        <v>3383</v>
      </c>
      <c r="GM765" s="1822" t="s">
        <v>3383</v>
      </c>
      <c r="GN765" s="1822" t="s">
        <v>3383</v>
      </c>
      <c r="GO765" s="1822" t="s">
        <v>3383</v>
      </c>
      <c r="GP765" s="1822" t="s">
        <v>361</v>
      </c>
      <c r="GQ765" s="1822" t="s">
        <v>361</v>
      </c>
      <c r="GR765" s="1822" t="s">
        <v>361</v>
      </c>
      <c r="GS765" s="1822" t="s">
        <v>361</v>
      </c>
      <c r="GT765" s="1822" t="s">
        <v>361</v>
      </c>
      <c r="GU765" s="1822" t="s">
        <v>3382</v>
      </c>
      <c r="GV765" s="1822" t="s">
        <v>3382</v>
      </c>
      <c r="GW765" s="1822" t="s">
        <v>3382</v>
      </c>
      <c r="GX765" s="1822" t="s">
        <v>3382</v>
      </c>
      <c r="GY765" s="1822" t="s">
        <v>3382</v>
      </c>
      <c r="GZ765" s="1822" t="s">
        <v>362</v>
      </c>
      <c r="HA765" s="1822" t="s">
        <v>362</v>
      </c>
      <c r="HB765" s="1822" t="s">
        <v>362</v>
      </c>
      <c r="HC765" s="1822" t="s">
        <v>362</v>
      </c>
      <c r="HD765" s="1822" t="s">
        <v>362</v>
      </c>
      <c r="HE765" s="1822" t="s">
        <v>3385</v>
      </c>
      <c r="HF765" s="1822" t="s">
        <v>3385</v>
      </c>
      <c r="HG765" s="1822" t="s">
        <v>3385</v>
      </c>
      <c r="HH765" s="1822" t="s">
        <v>3385</v>
      </c>
      <c r="HI765" s="1822" t="s">
        <v>3385</v>
      </c>
      <c r="HJ765" s="1822" t="s">
        <v>363</v>
      </c>
      <c r="HK765" s="1822" t="s">
        <v>363</v>
      </c>
      <c r="HL765" s="1822" t="s">
        <v>363</v>
      </c>
      <c r="HM765" s="1822" t="s">
        <v>363</v>
      </c>
      <c r="HN765" s="1822" t="s">
        <v>363</v>
      </c>
      <c r="HO765" s="1822" t="s">
        <v>3386</v>
      </c>
      <c r="HP765" s="1822" t="s">
        <v>3386</v>
      </c>
      <c r="HQ765" s="1822" t="s">
        <v>3386</v>
      </c>
      <c r="HR765" s="1822" t="s">
        <v>3386</v>
      </c>
      <c r="HS765" s="1822" t="s">
        <v>3386</v>
      </c>
      <c r="HT765" s="1822" t="s">
        <v>1473</v>
      </c>
      <c r="HU765" s="1822" t="s">
        <v>1473</v>
      </c>
      <c r="HV765" s="1822" t="s">
        <v>1473</v>
      </c>
      <c r="HW765" s="1822" t="s">
        <v>1473</v>
      </c>
      <c r="HX765" s="1822" t="s">
        <v>1473</v>
      </c>
      <c r="HY765" s="1822" t="s">
        <v>3387</v>
      </c>
      <c r="HZ765" s="1822" t="s">
        <v>3387</v>
      </c>
      <c r="IA765" s="1822" t="s">
        <v>3387</v>
      </c>
      <c r="IB765" s="1822" t="s">
        <v>3387</v>
      </c>
      <c r="IC765" s="1822" t="s">
        <v>3387</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3692</v>
      </c>
      <c r="H766" s="1836" t="s">
        <v>1490</v>
      </c>
      <c r="I766" s="1792"/>
      <c r="J766" s="1845" t="s">
        <v>352</v>
      </c>
      <c r="K766" s="1836" t="s">
        <v>1542</v>
      </c>
      <c r="L766" s="1836" t="s">
        <v>544</v>
      </c>
      <c r="M766" s="1836" t="s">
        <v>1488</v>
      </c>
      <c r="N766" s="1836" t="s">
        <v>3337</v>
      </c>
      <c r="O766" s="1836" t="s">
        <v>386</v>
      </c>
      <c r="P766" s="1832"/>
      <c r="Q766" s="1836" t="s">
        <v>3599</v>
      </c>
      <c r="R766" s="1836" t="s">
        <v>1050</v>
      </c>
      <c r="S766" s="1836" t="s">
        <v>1490</v>
      </c>
      <c r="T766" s="1836" t="s">
        <v>2714</v>
      </c>
      <c r="U766" s="1825" t="s">
        <v>1859</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2512</v>
      </c>
      <c r="EY766" s="1824" t="s">
        <v>2512</v>
      </c>
      <c r="EZ766" s="1824" t="s">
        <v>2512</v>
      </c>
      <c r="FA766" s="1824" t="s">
        <v>2512</v>
      </c>
      <c r="FB766" s="1822"/>
      <c r="FC766" s="1822"/>
      <c r="FD766" s="1822"/>
      <c r="FE766" s="1822"/>
      <c r="FF766" s="1822"/>
      <c r="FG766" s="1822"/>
      <c r="FH766" s="1822"/>
      <c r="FI766" s="1822"/>
      <c r="FJ766" s="1822"/>
      <c r="FK766" s="1822"/>
      <c r="FL766" s="1824" t="s">
        <v>2514</v>
      </c>
      <c r="FM766" s="1824" t="s">
        <v>2514</v>
      </c>
      <c r="FN766" s="1824" t="s">
        <v>2514</v>
      </c>
      <c r="FO766" s="1824" t="s">
        <v>2514</v>
      </c>
      <c r="FP766" s="1824" t="s">
        <v>2514</v>
      </c>
      <c r="FQ766" s="1824" t="s">
        <v>3389</v>
      </c>
      <c r="FR766" s="1824" t="s">
        <v>3389</v>
      </c>
      <c r="FS766" s="1824" t="s">
        <v>3389</v>
      </c>
      <c r="FT766" s="1824" t="s">
        <v>3389</v>
      </c>
      <c r="FU766" s="1824" t="s">
        <v>3389</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0">IF(AND(E767&gt;0,OR(B767="",C767="",D767="",F767="",G767="", H767="",M767="",N767="",O767="",P767="")),1,"")</f>
        <v/>
      </c>
      <c r="B767" s="1846" t="str">
        <f>'Part VI-Revenues &amp; Expenses'!B10</f>
        <v>50% AMI</v>
      </c>
      <c r="C767" s="1847" t="str">
        <f>'Part VI-Revenues &amp; Expenses'!C10</f>
        <v>Efficiency</v>
      </c>
      <c r="D767" s="1848">
        <f>'Part VI-Revenues &amp; Expenses'!D10</f>
        <v>1</v>
      </c>
      <c r="E767" s="1849">
        <f>'Part VI-Revenues &amp; Expenses'!E10</f>
        <v>17</v>
      </c>
      <c r="F767" s="1849">
        <f>'Part VI-Revenues &amp; Expenses'!F10</f>
        <v>520</v>
      </c>
      <c r="G767" s="1849">
        <f>'Part VI-Revenues &amp; Expenses'!G10</f>
        <v>610</v>
      </c>
      <c r="H767" s="1849">
        <f>'Part VI-Revenues &amp; Expenses'!H10</f>
        <v>610</v>
      </c>
      <c r="I767" s="1849">
        <f>'Part VI-Revenues &amp; Expenses'!I10</f>
        <v>115.58</v>
      </c>
      <c r="J767" s="1850">
        <f>'Part VI-Revenues &amp; Expenses'!J10</f>
        <v>0</v>
      </c>
      <c r="K767" s="1851">
        <f t="shared" ref="K767:K804" si="1">MAX(0,H767-I767)</f>
        <v>494.42</v>
      </c>
      <c r="L767" s="1851">
        <f t="shared" ref="L767:L804" si="2">MAX(0,E767*K767)</f>
        <v>8405.14</v>
      </c>
      <c r="M767" s="1725" t="str">
        <f>'Part VI-Revenues &amp; Expenses'!M10</f>
        <v>No</v>
      </c>
      <c r="N767" s="1725" t="str">
        <f>'Part VI-Revenues &amp; Expenses'!N10</f>
        <v>3+ Story</v>
      </c>
      <c r="O767" s="1725" t="str">
        <f>'Part VI-Revenues &amp; Expenses'!O10</f>
        <v>Rehabilitation</v>
      </c>
      <c r="P767" s="1831" t="str">
        <f>'Part VI-Revenues &amp; Expenses'!P10</f>
        <v>No</v>
      </c>
      <c r="Q767" s="1852">
        <f>'Part VI-Revenues &amp; Expenses'!Q10</f>
        <v>24400</v>
      </c>
      <c r="R767" s="1853">
        <f>'Part VI-Revenues &amp; Expenses'!R10</f>
        <v>0.50010248001639679</v>
      </c>
      <c r="S767" s="1852">
        <f>'Part VI-Revenues &amp; Expenses'!S10</f>
        <v>0</v>
      </c>
      <c r="T767" s="1853">
        <f>'Part VI-Revenues &amp; Expenses'!T10</f>
        <v>0</v>
      </c>
      <c r="U767" s="1775"/>
      <c r="V767" s="1775"/>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f t="shared" ref="AB767:AB804" si="8">IF(AND(C767="Efficiency",B767="50% AMI",NOT(M767="Common Space")),E767,"")</f>
        <v>17</v>
      </c>
      <c r="AC767" s="683" t="str">
        <f t="shared" ref="AC767:AC804" si="9">IF(AND(C767=1,B767="50% AMI",NOT(M767="Common Space")),E767,"")</f>
        <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f t="shared" ref="CE767:CE804" si="63">IF(OR(AND(C767="Efficiency",B767="50% AMI",NOT(M767="Common Space")),AND(C767="Efficiency",B767="HOME 50% AMI",NOT(M767="Common Space"))),E767*F767,"")</f>
        <v>8840</v>
      </c>
      <c r="CF767" s="683" t="str">
        <f t="shared" ref="CF767:CF804" si="64">IF(OR(AND(C767=1,B767="50% AMI",NOT(M767="Common Space")),AND(C767=1,B767="HOME 50% AMI",NOT(M767="Common Space"))),E767*F767,"")</f>
        <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t="str">
        <f t="shared" ref="DE767:DE804" si="89">IF(AND($C767=1, $O767="New Construction",NOT($B767="Unrestricted"),NOT($B767="NSP 120% AMI"),NOT($B767="N/A-CS"),NOT($M767="Common Space")),$E767,"")</f>
        <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f t="shared" ref="EH767:EH804" si="118">IF(AND($C767="Efficiency", $O767="Rehabilitation",NOT($B767="Unrestricted"),NOT($B767="NSP 120% AMI"),NOT($B767="N/A-CS"),NOT($M767="Common Space")),$E767,"")</f>
        <v>17</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1854">
        <f t="shared" ref="EW767:EW804" si="133">IF(AND($C767="Efficiency", NOT(OR($N767="SF Detached",$N767="Mfd Home",$N767="Duplex",$N767="Townhome"))),$E767,"")</f>
        <v>17</v>
      </c>
      <c r="EX767" s="1854" t="str">
        <f t="shared" ref="EX767:EX804" si="134">IF(AND($C767=1, NOT(OR($N767="SF Detached",$N767="Mfd Home",$N767="Duplex",$N767="Townhome"))),$E767,"")</f>
        <v/>
      </c>
      <c r="EY767" s="1854" t="str">
        <f t="shared" ref="EY767:EY804" si="135">IF(AND($C767=2, NOT(OR($N767="SF Detached",$N767="Mfd Home",$N767="Duplex",$N767="Townhome"))),$E767,"")</f>
        <v/>
      </c>
      <c r="EZ767" s="1854" t="str">
        <f t="shared" ref="EZ767:EZ804" si="136">IF(AND($C767=3, NOT(OR($N767="SF Detached",$N767="Mfd Home",$N767="Duplex",$N767="Townhome"))),$E767,"")</f>
        <v/>
      </c>
      <c r="FA767" s="1854" t="str">
        <f t="shared" ref="FA767:FA804" si="137">IF(AND($C767=4, NOT(OR($N767="SF Detached",$N767="Mfd Home",$N767="Duplex",$N767="Townhome"))),$E767,"")</f>
        <v/>
      </c>
      <c r="FB767" s="1854" t="str">
        <f t="shared" ref="FB767:FB804" si="138">IF(AND($C767="Efficiency", $N767="SF Detached",NOT($P767="Yes")),$E767,"")</f>
        <v/>
      </c>
      <c r="FC767" s="1854" t="str">
        <f t="shared" ref="FC767:FC804" si="139">IF(AND($C767=1, $N767="SF Detached",NOT($P767="Yes")),$E767,"")</f>
        <v/>
      </c>
      <c r="FD767" s="1854" t="str">
        <f t="shared" ref="FD767:FD804" si="140">IF(AND($C767=2, $N767="SF Detached",NOT($P767="Yes")),$E767,"")</f>
        <v/>
      </c>
      <c r="FE767" s="1854" t="str">
        <f t="shared" ref="FE767:FE804" si="141">IF(AND($C767=3, $N767="SF Detached",NOT($P767="Yes")),$E767,"")</f>
        <v/>
      </c>
      <c r="FF767" s="1854" t="str">
        <f t="shared" ref="FF767:FF804" si="142">IF(AND($C767=4, $N767="SF Detached",NOT($P767="Yes")),$E767,"")</f>
        <v/>
      </c>
      <c r="FG767" s="1854" t="str">
        <f t="shared" ref="FG767:FG804" si="143">IF(AND($C767="Efficiency", $N767="SF Detached",$P767="Yes"),$E767,"")</f>
        <v/>
      </c>
      <c r="FH767" s="1854" t="str">
        <f t="shared" ref="FH767:FH804" si="144">IF(AND($C767=1, $N767="SF Detached",$P767="Yes"),$E767,"")</f>
        <v/>
      </c>
      <c r="FI767" s="1854" t="str">
        <f t="shared" ref="FI767:FI804" si="145">IF(AND($C767=2, $N767="SF Detached",$P767="Yes"),$E767,"")</f>
        <v/>
      </c>
      <c r="FJ767" s="1854" t="str">
        <f t="shared" ref="FJ767:FJ804" si="146">IF(AND($C767=3, $N767="SF Detached",$P767="Yes"),$E767,"")</f>
        <v/>
      </c>
      <c r="FK767" s="1854" t="str">
        <f t="shared" ref="FK767:FK804" si="147">IF(AND($C767=4, $N767="SF Detached",$P767="Yes"),$E767,"")</f>
        <v/>
      </c>
      <c r="FL767" s="1854" t="str">
        <f t="shared" ref="FL767:FL804" si="148">IF(AND($C767="Efficiency", $N767="Mfd Home",NOT($P767="Yes")),$E767,"")</f>
        <v/>
      </c>
      <c r="FM767" s="1854" t="str">
        <f t="shared" ref="FM767:FM804" si="149">IF(AND($C767=1, $N767="Mfd Home",NOT($P767="Yes")),$E767,"")</f>
        <v/>
      </c>
      <c r="FN767" s="1854" t="str">
        <f t="shared" ref="FN767:FN804" si="150">IF(AND($C767=2, $N767="Mfd Home",NOT($P767="Yes")),$E767,"")</f>
        <v/>
      </c>
      <c r="FO767" s="1854" t="str">
        <f t="shared" ref="FO767:FO804" si="151">IF(AND($C767=3, $N767="Mfd Home",NOT($P767="Yes")),$E767,"")</f>
        <v/>
      </c>
      <c r="FP767" s="1854" t="str">
        <f t="shared" ref="FP767:FP804" si="152">IF(AND($C767=4, $N767="Mfd Home",NOT($P767="Yes")),$E767,"")</f>
        <v/>
      </c>
      <c r="FQ767" s="1854" t="str">
        <f t="shared" ref="FQ767:FQ804" si="153">IF(AND($C767="Efficiency", $N767="Mfd Home",$P767="Yes"),$E767,"")</f>
        <v/>
      </c>
      <c r="FR767" s="1854" t="str">
        <f t="shared" ref="FR767:FR804" si="154">IF(AND($C767=1, $N767="Mfd Home",$P767="Yes"),$E767,"")</f>
        <v/>
      </c>
      <c r="FS767" s="1854" t="str">
        <f t="shared" ref="FS767:FS804" si="155">IF(AND($C767=2, $N767="Mfd Home",$P767="Yes"),$E767,"")</f>
        <v/>
      </c>
      <c r="FT767" s="1854" t="str">
        <f t="shared" ref="FT767:FT804" si="156">IF(AND($C767=3, $N767="Mfd Home",$P767="Yes"),$E767,"")</f>
        <v/>
      </c>
      <c r="FU767" s="1854" t="str">
        <f t="shared" ref="FU767:FU804" si="157">IF(AND($C767=4, $N767="Mfd Home",$P767="Yes"),$E767,"")</f>
        <v/>
      </c>
      <c r="FV767" s="1854" t="str">
        <f t="shared" ref="FV767:FV804" si="158">IF(AND($C767="Efficiency", $N767="Duplex",NOT($P767="Yes")),$E767,"")</f>
        <v/>
      </c>
      <c r="FW767" s="1854" t="str">
        <f t="shared" ref="FW767:FW804" si="159">IF(AND($C767=1, $N767="Duplex",NOT($P767="Yes")),$E767,"")</f>
        <v/>
      </c>
      <c r="FX767" s="1854" t="str">
        <f t="shared" ref="FX767:FX804" si="160">IF(AND($C767=2, $N767="Duplex",NOT($P767="Yes")),$E767,"")</f>
        <v/>
      </c>
      <c r="FY767" s="1854" t="str">
        <f t="shared" ref="FY767:FY804" si="161">IF(AND($C767=3, $N767="Duplex",NOT($P767="Yes")),$E767,"")</f>
        <v/>
      </c>
      <c r="FZ767" s="1854" t="str">
        <f t="shared" ref="FZ767:FZ804" si="162">IF(AND($C767=4, $N767="Duplex",NOT($P767="Yes")),$E767,"")</f>
        <v/>
      </c>
      <c r="GA767" s="1854" t="str">
        <f t="shared" ref="GA767:GA804" si="163">IF(AND($C767="Efficiency", $N767="Duplex",$P767="Yes"),$E767,"")</f>
        <v/>
      </c>
      <c r="GB767" s="1854" t="str">
        <f t="shared" ref="GB767:GB804" si="164">IF(AND($C767=1, $N767="Duplex",$P767="Yes"),$E767,"")</f>
        <v/>
      </c>
      <c r="GC767" s="1854" t="str">
        <f t="shared" ref="GC767:GC804" si="165">IF(AND($C767=2, $N767="Duplex",$P767="Yes"),$E767,"")</f>
        <v/>
      </c>
      <c r="GD767" s="1854" t="str">
        <f t="shared" ref="GD767:GD804" si="166">IF(AND($C767=3, $N767="Duplex",$P767="Yes"),$E767,"")</f>
        <v/>
      </c>
      <c r="GE767" s="1854" t="str">
        <f t="shared" ref="GE767:GE804" si="167">IF(AND($C767=4, $N767="Duplex",$P767="Yes"),$E767,"")</f>
        <v/>
      </c>
      <c r="GF767" s="1854" t="str">
        <f t="shared" ref="GF767:GF804" si="168">IF(AND($C767="Efficiency", $N767="Townhome",NOT($P767="Yes")),$E767,"")</f>
        <v/>
      </c>
      <c r="GG767" s="1854" t="str">
        <f t="shared" ref="GG767:GG804" si="169">IF(AND($C767=1, $N767="Townhome",NOT($P767="Yes")),$E767,"")</f>
        <v/>
      </c>
      <c r="GH767" s="1854" t="str">
        <f t="shared" ref="GH767:GH804" si="170">IF(AND($C767=2, $N767="Townhome",NOT($P767="Yes")),$E767,"")</f>
        <v/>
      </c>
      <c r="GI767" s="1854" t="str">
        <f t="shared" ref="GI767:GI804" si="171">IF(AND($C767=3, $N767="Townhome",NOT($P767="Yes")),$E767,"")</f>
        <v/>
      </c>
      <c r="GJ767" s="1854" t="str">
        <f t="shared" ref="GJ767:GJ804" si="172">IF(AND($C767=4, $N767="Townhome",NOT($P767="Yes")),$E767,"")</f>
        <v/>
      </c>
      <c r="GK767" s="1854" t="str">
        <f t="shared" ref="GK767:GK804" si="173">IF(AND($C767="Efficiency", $N767="Townhome",$P767="Yes"),$E767,"")</f>
        <v/>
      </c>
      <c r="GL767" s="1854" t="str">
        <f t="shared" ref="GL767:GL804" si="174">IF(AND($C767=1, $N767="Townhome",$P767="Yes"),$E767,"")</f>
        <v/>
      </c>
      <c r="GM767" s="1854" t="str">
        <f t="shared" ref="GM767:GM804" si="175">IF(AND($C767=2, $N767="Townhome",$P767="Yes"),$E767,"")</f>
        <v/>
      </c>
      <c r="GN767" s="1854" t="str">
        <f t="shared" ref="GN767:GN804" si="176">IF(AND($C767=3, $N767="Townhome",$P767="Yes"),$E767,"")</f>
        <v/>
      </c>
      <c r="GO767" s="1854" t="str">
        <f t="shared" ref="GO767:GO804" si="177">IF(AND($C767=4, $N767="Townhome",$P767="Yes"),$E767,"")</f>
        <v/>
      </c>
      <c r="GP767" s="1854" t="str">
        <f t="shared" ref="GP767:GP804" si="178">IF(AND($C767="Efficiency", $N767="1-Story",NOT($P767="Yes")),$E767,"")</f>
        <v/>
      </c>
      <c r="GQ767" s="1854" t="str">
        <f t="shared" ref="GQ767:GQ804" si="179">IF(AND($C767=1, $N767="1-Story",NOT($P767="Yes")),$E767,"")</f>
        <v/>
      </c>
      <c r="GR767" s="1854" t="str">
        <f t="shared" ref="GR767:GR804" si="180">IF(AND($C767=2, $N767="1-Story",NOT($P767="Yes")),$E767,"")</f>
        <v/>
      </c>
      <c r="GS767" s="1854" t="str">
        <f t="shared" ref="GS767:GS804" si="181">IF(AND($C767=3, $N767="1-Story",NOT($P767="Yes")),$E767,"")</f>
        <v/>
      </c>
      <c r="GT767" s="1854" t="str">
        <f t="shared" ref="GT767:GT804" si="182">IF(AND($C767=4, $N767="1-Story",NOT($P767="Yes")),$E767,"")</f>
        <v/>
      </c>
      <c r="GU767" s="1854" t="str">
        <f t="shared" ref="GU767:GU804" si="183">IF(AND($C767="Efficiency", $N767="1-Story",$P767="Yes"),$E767,"")</f>
        <v/>
      </c>
      <c r="GV767" s="1854" t="str">
        <f t="shared" ref="GV767:GV804" si="184">IF(AND($C767=1, $N767="1-Story",$P767="Yes"),$E767,"")</f>
        <v/>
      </c>
      <c r="GW767" s="1854" t="str">
        <f t="shared" ref="GW767:GW804" si="185">IF(AND($C767=2, $N767="1-Story",$P767="Yes"),$E767,"")</f>
        <v/>
      </c>
      <c r="GX767" s="1854" t="str">
        <f t="shared" ref="GX767:GX804" si="186">IF(AND($C767=3, $N767="1-Story",$P767="Yes"),$E767,"")</f>
        <v/>
      </c>
      <c r="GY767" s="1854" t="str">
        <f t="shared" ref="GY767:GY804" si="187">IF(AND($C767=4, $N767="1-Story",$P767="Yes"),$E767,"")</f>
        <v/>
      </c>
      <c r="GZ767" s="1854" t="str">
        <f t="shared" ref="GZ767:GZ804" si="188">IF(AND($C767="Efficiency", $N767="2-Story",NOT($P767="Yes")),$E767,"")</f>
        <v/>
      </c>
      <c r="HA767" s="1854" t="str">
        <f t="shared" ref="HA767:HA804" si="189">IF(AND($C767=1, $N767="2-Story",NOT($P767="Yes")),$E767,"")</f>
        <v/>
      </c>
      <c r="HB767" s="1854" t="str">
        <f t="shared" ref="HB767:HB804" si="190">IF(AND($C767=2, $N767="2-Story",NOT($P767="Yes")),$E767,"")</f>
        <v/>
      </c>
      <c r="HC767" s="1854" t="str">
        <f t="shared" ref="HC767:HC804" si="191">IF(AND($C767=3, $N767="2-Story",NOT($P767="Yes")),$E767,"")</f>
        <v/>
      </c>
      <c r="HD767" s="1854" t="str">
        <f t="shared" ref="HD767:HD804" si="192">IF(AND($C767=4, $N767="2-Story",NOT($P767="Yes")),$E767,"")</f>
        <v/>
      </c>
      <c r="HE767" s="1854" t="str">
        <f t="shared" ref="HE767:HE804" si="193">IF(AND($C767="Efficiency", $N767="2-Story",$P767="Yes"),$E767,"")</f>
        <v/>
      </c>
      <c r="HF767" s="1854" t="str">
        <f t="shared" ref="HF767:HF804" si="194">IF(AND($C767=1, $N767="2-Story",$P767="Yes"),$E767,"")</f>
        <v/>
      </c>
      <c r="HG767" s="1854" t="str">
        <f t="shared" ref="HG767:HG804" si="195">IF(AND($C767=2, $N767="2-Story",$P767="Yes"),$E767,"")</f>
        <v/>
      </c>
      <c r="HH767" s="1854" t="str">
        <f t="shared" ref="HH767:HH804" si="196">IF(AND($C767=3, $N767="2-Story",$P767="Yes"),$E767,"")</f>
        <v/>
      </c>
      <c r="HI767" s="1854" t="str">
        <f t="shared" ref="HI767:HI804" si="197">IF(AND($C767=4, $N767="2-Story",$P767="Yes"),$E767,"")</f>
        <v/>
      </c>
      <c r="HJ767" s="1854" t="str">
        <f t="shared" ref="HJ767:HJ804" si="198">IF(AND($C767="Efficiency", $N767="2-Story Walkup",NOT($P767="Yes")),$E767,"")</f>
        <v/>
      </c>
      <c r="HK767" s="1854" t="str">
        <f t="shared" ref="HK767:HK804" si="199">IF(AND($C767=1, $N767="2-Story Walkup",NOT($P767="Yes")),$E767,"")</f>
        <v/>
      </c>
      <c r="HL767" s="1854" t="str">
        <f t="shared" ref="HL767:HL804" si="200">IF(AND($C767=2, $N767="2-Story Walkup",NOT($P767="Yes")),$E767,"")</f>
        <v/>
      </c>
      <c r="HM767" s="1854" t="str">
        <f t="shared" ref="HM767:HM804" si="201">IF(AND($C767=3, $N767="2-Story Walkup",NOT($P767="Yes")),$E767,"")</f>
        <v/>
      </c>
      <c r="HN767" s="1854" t="str">
        <f t="shared" ref="HN767:HN804" si="202">IF(AND($C767=4, $N767="2-Story Walkup",NOT($P767="Yes")),$E767,"")</f>
        <v/>
      </c>
      <c r="HO767" s="1854" t="str">
        <f t="shared" ref="HO767:HO804" si="203">IF(AND($C767="Efficiency", $N767="2-Story Walkup",$P767="Yes"),$E767,"")</f>
        <v/>
      </c>
      <c r="HP767" s="1854" t="str">
        <f t="shared" ref="HP767:HP804" si="204">IF(AND($C767=1, $N767="2-Story Walkup",$P767="Yes"),$E767,"")</f>
        <v/>
      </c>
      <c r="HQ767" s="1854" t="str">
        <f t="shared" ref="HQ767:HQ804" si="205">IF(AND($C767=2, $N767="2-Story Walkup",$P767="Yes"),$E767,"")</f>
        <v/>
      </c>
      <c r="HR767" s="1854" t="str">
        <f t="shared" ref="HR767:HR804" si="206">IF(AND($C767=3, $N767="2-Story Walkup",$P767="Yes"),$E767,"")</f>
        <v/>
      </c>
      <c r="HS767" s="1854" t="str">
        <f t="shared" ref="HS767:HS804" si="207">IF(AND($C767=4, $N767="2-Story Walkup",$P767="Yes"),$E767,"")</f>
        <v/>
      </c>
      <c r="HT767" s="1854">
        <f t="shared" ref="HT767:HT804" si="208">IF(AND($C767="Efficiency", $N767="3+ Story",NOT($P767="Yes")),$E767,"")</f>
        <v>17</v>
      </c>
      <c r="HU767" s="1854" t="str">
        <f t="shared" ref="HU767:HU804" si="209">IF(AND($C767=1, $N767="3+ Story",NOT($P767="Yes")),$E767,"")</f>
        <v/>
      </c>
      <c r="HV767" s="1854" t="str">
        <f t="shared" ref="HV767:HV804" si="210">IF(AND($C767=2, $N767="3+ Story",NOT($P767="Yes")),$E767,"")</f>
        <v/>
      </c>
      <c r="HW767" s="1854" t="str">
        <f t="shared" ref="HW767:HW804" si="211">IF(AND($C767=3, $N767="3+ Story",NOT($P767="Yes")),$E767,"")</f>
        <v/>
      </c>
      <c r="HX767" s="1854" t="str">
        <f t="shared" ref="HX767:HX804" si="212">IF(AND($C767=4, $N767="3+ Story",NOT($P767="Yes")),$E767,"")</f>
        <v/>
      </c>
      <c r="HY767" s="1854" t="str">
        <f t="shared" ref="HY767:HY804" si="213">IF(AND($C767="Efficiency", $N767="3+ Story",$P767="Yes"),$E767,"")</f>
        <v/>
      </c>
      <c r="HZ767" s="1854" t="str">
        <f t="shared" ref="HZ767:HZ804" si="214">IF(AND($C767=1, $N767="3+ Story",$P767="Yes"),$E767,"")</f>
        <v/>
      </c>
      <c r="IA767" s="1854" t="str">
        <f t="shared" ref="IA767:IA804" si="215">IF(AND($C767=2, $N767="3+ Story",$P767="Yes"),$E767,"")</f>
        <v/>
      </c>
      <c r="IB767" s="1854" t="str">
        <f t="shared" ref="IB767:IB804" si="216">IF(AND($C767=3, $N767="3+ Story",$P767="Yes"),$E767,"")</f>
        <v/>
      </c>
      <c r="IC767" s="1854" t="str">
        <f t="shared" ref="IC767:IC804" si="217">IF(AND($C767=4, $N767="3+ Story",$P767="Yes"),$E767,"")</f>
        <v/>
      </c>
      <c r="ID767" s="1826" t="str">
        <f t="shared" ref="ID767:ID804" si="218">IF(AND($B767="NSP 120% AMI",$C767="Efficiency", NOT($M767="Common Space")),$E767,"")</f>
        <v/>
      </c>
      <c r="IE767" s="1826" t="str">
        <f t="shared" ref="IE767:IE804" si="219">IF(AND($B767="NSP 120% AMI",$C767=1,NOT($M767="Common Space")),$E767,"")</f>
        <v/>
      </c>
      <c r="IF767" s="1826" t="str">
        <f t="shared" ref="IF767:IF804" si="220">IF(AND($B767="NSP 120% AMI",$C767=2,NOT($M767="Common Space")),$E767,"")</f>
        <v/>
      </c>
      <c r="IG767" s="1826" t="str">
        <f t="shared" ref="IG767:IG804" si="221">IF(AND($B767="NSP 120% AMI",$C767=3,NOT($M767="Common Space")),$E767,"")</f>
        <v/>
      </c>
      <c r="IH767" s="1826"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1824">
        <f>IF(AND($C767="Efficiency",$E767&gt;0,OR($N767="1-Story",$N767="2-Story",$N767="3+ Story",$N767="2-Story Walkup",$N767="Townhome"),OR($O767="Acquisition/Rehab",$O767="Rehabilitation"),NOT($P767="Yes")),$E767,0)</f>
        <v>17</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0</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0"/>
        <v/>
      </c>
      <c r="B768" s="1846" t="str">
        <f>'Part VI-Revenues &amp; Expenses'!B11</f>
        <v>50% AMI</v>
      </c>
      <c r="C768" s="1847" t="str">
        <f>'Part VI-Revenues &amp; Expenses'!C11</f>
        <v>Efficiency</v>
      </c>
      <c r="D768" s="1848">
        <f>'Part VI-Revenues &amp; Expenses'!D11</f>
        <v>1</v>
      </c>
      <c r="E768" s="1849">
        <f>'Part VI-Revenues &amp; Expenses'!E11</f>
        <v>2</v>
      </c>
      <c r="F768" s="1849">
        <f>'Part VI-Revenues &amp; Expenses'!F11</f>
        <v>600</v>
      </c>
      <c r="G768" s="1849">
        <f>'Part VI-Revenues &amp; Expenses'!G11</f>
        <v>610</v>
      </c>
      <c r="H768" s="1849">
        <f>'Part VI-Revenues &amp; Expenses'!H11</f>
        <v>610</v>
      </c>
      <c r="I768" s="1849">
        <f>'Part VI-Revenues &amp; Expenses'!I11</f>
        <v>113.33</v>
      </c>
      <c r="J768" s="1850">
        <f>'Part VI-Revenues &amp; Expenses'!J11</f>
        <v>0</v>
      </c>
      <c r="K768" s="1851">
        <f t="shared" si="1"/>
        <v>496.67</v>
      </c>
      <c r="L768" s="1851">
        <f t="shared" si="2"/>
        <v>993.34</v>
      </c>
      <c r="M768" s="1725" t="str">
        <f>'Part VI-Revenues &amp; Expenses'!M11</f>
        <v>No</v>
      </c>
      <c r="N768" s="1725" t="str">
        <f>'Part VI-Revenues &amp; Expenses'!N11</f>
        <v>3+ Story</v>
      </c>
      <c r="O768" s="1725" t="str">
        <f>'Part VI-Revenues &amp; Expenses'!O11</f>
        <v>Rehabilitation</v>
      </c>
      <c r="P768" s="1831" t="str">
        <f>'Part VI-Revenues &amp; Expenses'!P11</f>
        <v>No</v>
      </c>
      <c r="Q768" s="1852">
        <f>'Part VI-Revenues &amp; Expenses'!Q11</f>
        <v>24400</v>
      </c>
      <c r="R768" s="1853">
        <f>'Part VI-Revenues &amp; Expenses'!R11</f>
        <v>0.50010248001639679</v>
      </c>
      <c r="S768" s="1852">
        <f>'Part VI-Revenues &amp; Expenses'!S11</f>
        <v>0</v>
      </c>
      <c r="T768" s="1853">
        <f>'Part VI-Revenues &amp; Expenses'!T11</f>
        <v>0</v>
      </c>
      <c r="U768" s="1775"/>
      <c r="V768" s="1775"/>
      <c r="W768" s="683" t="str">
        <f t="shared" si="3"/>
        <v/>
      </c>
      <c r="X768" s="683" t="str">
        <f t="shared" si="4"/>
        <v/>
      </c>
      <c r="Y768" s="683" t="str">
        <f t="shared" si="5"/>
        <v/>
      </c>
      <c r="Z768" s="683" t="str">
        <f t="shared" si="6"/>
        <v/>
      </c>
      <c r="AA768" s="683" t="str">
        <f t="shared" si="7"/>
        <v/>
      </c>
      <c r="AB768" s="683">
        <f t="shared" si="8"/>
        <v>2</v>
      </c>
      <c r="AC768" s="683" t="str">
        <f t="shared" si="9"/>
        <v/>
      </c>
      <c r="AD768" s="683" t="str">
        <f t="shared" si="10"/>
        <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t="str">
        <f t="shared" si="59"/>
        <v/>
      </c>
      <c r="CB768" s="683" t="str">
        <f t="shared" si="60"/>
        <v/>
      </c>
      <c r="CC768" s="683" t="str">
        <f t="shared" si="61"/>
        <v/>
      </c>
      <c r="CD768" s="683" t="str">
        <f t="shared" si="62"/>
        <v/>
      </c>
      <c r="CE768" s="683">
        <f t="shared" si="63"/>
        <v>1200</v>
      </c>
      <c r="CF768" s="683" t="str">
        <f t="shared" si="64"/>
        <v/>
      </c>
      <c r="CG768" s="683" t="str">
        <f t="shared" si="65"/>
        <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t="str">
        <f t="shared" si="89"/>
        <v/>
      </c>
      <c r="DF768" s="683" t="str">
        <f t="shared" si="90"/>
        <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f t="shared" si="118"/>
        <v>2</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1854">
        <f t="shared" si="133"/>
        <v>2</v>
      </c>
      <c r="EX768" s="1854" t="str">
        <f t="shared" si="134"/>
        <v/>
      </c>
      <c r="EY768" s="1854" t="str">
        <f t="shared" si="135"/>
        <v/>
      </c>
      <c r="EZ768" s="1854" t="str">
        <f t="shared" si="136"/>
        <v/>
      </c>
      <c r="FA768" s="1854" t="str">
        <f t="shared" si="137"/>
        <v/>
      </c>
      <c r="FB768" s="1854" t="str">
        <f t="shared" si="138"/>
        <v/>
      </c>
      <c r="FC768" s="1854" t="str">
        <f t="shared" si="139"/>
        <v/>
      </c>
      <c r="FD768" s="1854" t="str">
        <f t="shared" si="140"/>
        <v/>
      </c>
      <c r="FE768" s="1854" t="str">
        <f t="shared" si="141"/>
        <v/>
      </c>
      <c r="FF768" s="1854" t="str">
        <f t="shared" si="142"/>
        <v/>
      </c>
      <c r="FG768" s="1854" t="str">
        <f t="shared" si="143"/>
        <v/>
      </c>
      <c r="FH768" s="1854" t="str">
        <f t="shared" si="144"/>
        <v/>
      </c>
      <c r="FI768" s="1854" t="str">
        <f t="shared" si="145"/>
        <v/>
      </c>
      <c r="FJ768" s="1854" t="str">
        <f t="shared" si="146"/>
        <v/>
      </c>
      <c r="FK768" s="1854" t="str">
        <f t="shared" si="147"/>
        <v/>
      </c>
      <c r="FL768" s="1854" t="str">
        <f t="shared" si="148"/>
        <v/>
      </c>
      <c r="FM768" s="1854" t="str">
        <f t="shared" si="149"/>
        <v/>
      </c>
      <c r="FN768" s="1854" t="str">
        <f t="shared" si="150"/>
        <v/>
      </c>
      <c r="FO768" s="1854" t="str">
        <f t="shared" si="151"/>
        <v/>
      </c>
      <c r="FP768" s="1854" t="str">
        <f t="shared" si="152"/>
        <v/>
      </c>
      <c r="FQ768" s="1854" t="str">
        <f t="shared" si="153"/>
        <v/>
      </c>
      <c r="FR768" s="1854" t="str">
        <f t="shared" si="154"/>
        <v/>
      </c>
      <c r="FS768" s="1854" t="str">
        <f t="shared" si="155"/>
        <v/>
      </c>
      <c r="FT768" s="1854" t="str">
        <f t="shared" si="156"/>
        <v/>
      </c>
      <c r="FU768" s="1854" t="str">
        <f t="shared" si="157"/>
        <v/>
      </c>
      <c r="FV768" s="1854" t="str">
        <f t="shared" si="158"/>
        <v/>
      </c>
      <c r="FW768" s="1854" t="str">
        <f t="shared" si="159"/>
        <v/>
      </c>
      <c r="FX768" s="1854" t="str">
        <f t="shared" si="160"/>
        <v/>
      </c>
      <c r="FY768" s="1854" t="str">
        <f t="shared" si="161"/>
        <v/>
      </c>
      <c r="FZ768" s="1854" t="str">
        <f t="shared" si="162"/>
        <v/>
      </c>
      <c r="GA768" s="1854" t="str">
        <f t="shared" si="163"/>
        <v/>
      </c>
      <c r="GB768" s="1854" t="str">
        <f t="shared" si="164"/>
        <v/>
      </c>
      <c r="GC768" s="1854" t="str">
        <f t="shared" si="165"/>
        <v/>
      </c>
      <c r="GD768" s="1854" t="str">
        <f t="shared" si="166"/>
        <v/>
      </c>
      <c r="GE768" s="1854" t="str">
        <f t="shared" si="167"/>
        <v/>
      </c>
      <c r="GF768" s="1854" t="str">
        <f t="shared" si="168"/>
        <v/>
      </c>
      <c r="GG768" s="1854" t="str">
        <f t="shared" si="169"/>
        <v/>
      </c>
      <c r="GH768" s="1854" t="str">
        <f t="shared" si="170"/>
        <v/>
      </c>
      <c r="GI768" s="1854" t="str">
        <f t="shared" si="171"/>
        <v/>
      </c>
      <c r="GJ768" s="1854" t="str">
        <f t="shared" si="172"/>
        <v/>
      </c>
      <c r="GK768" s="1854" t="str">
        <f t="shared" si="173"/>
        <v/>
      </c>
      <c r="GL768" s="1854" t="str">
        <f t="shared" si="174"/>
        <v/>
      </c>
      <c r="GM768" s="1854" t="str">
        <f t="shared" si="175"/>
        <v/>
      </c>
      <c r="GN768" s="1854" t="str">
        <f t="shared" si="176"/>
        <v/>
      </c>
      <c r="GO768" s="1854" t="str">
        <f t="shared" si="177"/>
        <v/>
      </c>
      <c r="GP768" s="1854" t="str">
        <f t="shared" si="178"/>
        <v/>
      </c>
      <c r="GQ768" s="1854" t="str">
        <f t="shared" si="179"/>
        <v/>
      </c>
      <c r="GR768" s="1854" t="str">
        <f t="shared" si="180"/>
        <v/>
      </c>
      <c r="GS768" s="1854" t="str">
        <f t="shared" si="181"/>
        <v/>
      </c>
      <c r="GT768" s="1854" t="str">
        <f t="shared" si="182"/>
        <v/>
      </c>
      <c r="GU768" s="1854" t="str">
        <f t="shared" si="183"/>
        <v/>
      </c>
      <c r="GV768" s="1854" t="str">
        <f t="shared" si="184"/>
        <v/>
      </c>
      <c r="GW768" s="1854" t="str">
        <f t="shared" si="185"/>
        <v/>
      </c>
      <c r="GX768" s="1854" t="str">
        <f t="shared" si="186"/>
        <v/>
      </c>
      <c r="GY768" s="1854" t="str">
        <f t="shared" si="187"/>
        <v/>
      </c>
      <c r="GZ768" s="1854" t="str">
        <f t="shared" si="188"/>
        <v/>
      </c>
      <c r="HA768" s="1854" t="str">
        <f t="shared" si="189"/>
        <v/>
      </c>
      <c r="HB768" s="1854" t="str">
        <f t="shared" si="190"/>
        <v/>
      </c>
      <c r="HC768" s="1854" t="str">
        <f t="shared" si="191"/>
        <v/>
      </c>
      <c r="HD768" s="1854" t="str">
        <f t="shared" si="192"/>
        <v/>
      </c>
      <c r="HE768" s="1854" t="str">
        <f t="shared" si="193"/>
        <v/>
      </c>
      <c r="HF768" s="1854" t="str">
        <f t="shared" si="194"/>
        <v/>
      </c>
      <c r="HG768" s="1854" t="str">
        <f t="shared" si="195"/>
        <v/>
      </c>
      <c r="HH768" s="1854" t="str">
        <f t="shared" si="196"/>
        <v/>
      </c>
      <c r="HI768" s="1854" t="str">
        <f t="shared" si="197"/>
        <v/>
      </c>
      <c r="HJ768" s="1854" t="str">
        <f t="shared" si="198"/>
        <v/>
      </c>
      <c r="HK768" s="1854" t="str">
        <f t="shared" si="199"/>
        <v/>
      </c>
      <c r="HL768" s="1854" t="str">
        <f t="shared" si="200"/>
        <v/>
      </c>
      <c r="HM768" s="1854" t="str">
        <f t="shared" si="201"/>
        <v/>
      </c>
      <c r="HN768" s="1854" t="str">
        <f t="shared" si="202"/>
        <v/>
      </c>
      <c r="HO768" s="1854" t="str">
        <f t="shared" si="203"/>
        <v/>
      </c>
      <c r="HP768" s="1854" t="str">
        <f t="shared" si="204"/>
        <v/>
      </c>
      <c r="HQ768" s="1854" t="str">
        <f t="shared" si="205"/>
        <v/>
      </c>
      <c r="HR768" s="1854" t="str">
        <f t="shared" si="206"/>
        <v/>
      </c>
      <c r="HS768" s="1854" t="str">
        <f t="shared" si="207"/>
        <v/>
      </c>
      <c r="HT768" s="1854">
        <f t="shared" si="208"/>
        <v>2</v>
      </c>
      <c r="HU768" s="1854" t="str">
        <f t="shared" si="209"/>
        <v/>
      </c>
      <c r="HV768" s="1854" t="str">
        <f t="shared" si="210"/>
        <v/>
      </c>
      <c r="HW768" s="1854" t="str">
        <f t="shared" si="211"/>
        <v/>
      </c>
      <c r="HX768" s="1854" t="str">
        <f t="shared" si="212"/>
        <v/>
      </c>
      <c r="HY768" s="1854" t="str">
        <f t="shared" si="213"/>
        <v/>
      </c>
      <c r="HZ768" s="1854" t="str">
        <f t="shared" si="214"/>
        <v/>
      </c>
      <c r="IA768" s="1854" t="str">
        <f t="shared" si="215"/>
        <v/>
      </c>
      <c r="IB768" s="1854" t="str">
        <f t="shared" si="216"/>
        <v/>
      </c>
      <c r="IC768" s="1854" t="str">
        <f t="shared" si="217"/>
        <v/>
      </c>
      <c r="ID768" s="1826" t="str">
        <f t="shared" si="218"/>
        <v/>
      </c>
      <c r="IE768" s="1826" t="str">
        <f t="shared" si="219"/>
        <v/>
      </c>
      <c r="IF768" s="1826" t="str">
        <f t="shared" si="220"/>
        <v/>
      </c>
      <c r="IG768" s="1826" t="str">
        <f t="shared" si="221"/>
        <v/>
      </c>
      <c r="IH768" s="1826"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1824">
        <f t="shared" ref="JC768:JC804" si="243">IF(AND($C768="Efficiency",$E768&gt;0,OR($N768="1-Story",$N768="2-Story",$N768="3+ Story",$N768="2-Story Walkup",$N768="Townhome"),OR($O768="Acquisition/Rehab",$O768="Rehabilitation"),NOT($P768="Yes")),$E768,0)</f>
        <v>2</v>
      </c>
      <c r="JD768" s="1824">
        <f t="shared" ref="JD768:JD804" si="244">IF(AND($C768=1,$E768&gt;0,OR($N768="1-Story",$N768="2-Story",$N768="3+ Story",$N768="2-Story Walkup",$N768="Townhome"),OR($O768="Acquisition/Rehab",$O768="Rehabilitation"),NOT($P768="Yes")),$E768,0)</f>
        <v>0</v>
      </c>
      <c r="JE768" s="1824">
        <f t="shared" ref="JE768:JE804" si="245">IF(AND($C768=2,$E768&gt;0,OR($N768="1-Story",$N768="2-Story",$N768="3+ Story",$N768="2-Story Walkup",$N768="Townhome"),OR($O768="Acquisition/Rehab",$O768="Rehabilitation"),NOT($P768="Yes")),$E768,0)</f>
        <v>0</v>
      </c>
      <c r="JF768" s="1824">
        <f t="shared" ref="JF768:JF804" si="246">IF(AND($C768=3,$E768&gt;0,OR($N768="1-Story",$N768="2-Story",$N768="3+ Story",$N768="2-Story Walkup",$N768="Townhome"),OR($O768="Acquisition/Rehab",$O768="Rehabilitation"),NOT($P768="Yes")),$E768,0)</f>
        <v>0</v>
      </c>
      <c r="JG768" s="1824">
        <f t="shared" ref="JG768:JG804" si="247">IF(AND($C768=4,$E768&gt;0,OR($N768="1-Story",$N768="2-Story",$N768="3+ Story",$N768="2-Story Walkup",$N768="Townhome"),OR($O768="Acquisition/Rehab",$O768="Rehabilitation"),NOT($P768="Yes")),$E768,0)</f>
        <v>0</v>
      </c>
      <c r="JH768" s="1824">
        <f t="shared" ref="JH768:JH804" si="248">IF(AND($C768="Efficiency",$E768&gt;0,OR($N768="1-Story",$N768="2-Story",$N768="3+ Story",$N768="2-Story Walkup",$N768="Townhome"),$O768="New Construction"),$E768,0)</f>
        <v>0</v>
      </c>
      <c r="JI768" s="1824">
        <f t="shared" ref="JI768:JI804" si="249">IF(AND($C768=1,$E768&gt;0,OR($N768="1-Story",$N768="2-Story",$N768="3+ Story",$N768="2-Story Walkup",$N768="Townhome"),$O768="New Construction"),$E768,0)</f>
        <v>0</v>
      </c>
      <c r="JJ768" s="1824">
        <f t="shared" ref="JJ768:JJ804" si="250">IF(AND($C768=2,$E768&gt;0,OR($N768="1-Story",$N768="2-Story",$N768="3+ Story",$N768="2-Story Walkup",$N768="Townhome"),$O768="New Construction"),$E768,0)</f>
        <v>0</v>
      </c>
      <c r="JK768" s="1824">
        <f t="shared" ref="JK768:JK804" si="251">IF(AND($C768=3,$E768&gt;0,OR($N768="1-Story",$N768="2-Story",$N768="3+ Story",$N768="2-Story Walkup",$N768="Townhome"),$O768="New Construction"),$E768,0)</f>
        <v>0</v>
      </c>
      <c r="JL768" s="1824">
        <f t="shared" ref="JL768:JL804" si="252">IF(AND($C768=4,$E768&gt;0,OR($N768="1-Story",$N768="2-Story",$N768="3+ Story",$N768="2-Story Walkup",$N768="Townhome"),$O768="New Construction"),$E768,0)</f>
        <v>0</v>
      </c>
      <c r="JM768" s="1824">
        <f t="shared" ref="JM768:JM804" si="253">IF(AND($C768="Efficiency",$E768&gt;0,OR($N768="SF Detached",$N768="Duplex",$N768="Mfd Home"),NOT($P768="Yes")),$E768,0)</f>
        <v>0</v>
      </c>
      <c r="JN768" s="1824">
        <f t="shared" ref="JN768:JN804" si="254">IF(AND($C768=1,$E768&gt;0,OR($N768="SF Detached",$N768="Duplex",$N768="Mfd Home"),NOT($P768="Yes")),$E768,0)</f>
        <v>0</v>
      </c>
      <c r="JO768" s="1824">
        <f t="shared" ref="JO768:JO804" si="255">IF(AND($C768=2,$E768&gt;0,OR($N768="SF Detached",$N768="Duplex",$N768="Mfd Home"),NOT($P768="Yes")),$E768,0)</f>
        <v>0</v>
      </c>
      <c r="JP768" s="1824">
        <f t="shared" ref="JP768:JP804" si="256">IF(AND($C768=3,$E768&gt;0,OR($N768="SF Detached",$N768="Duplex",$N768="Mfd Home"),NOT($P768="Yes")),$E768,0)</f>
        <v>0</v>
      </c>
      <c r="JQ768" s="1824">
        <f t="shared" ref="JQ768:JQ804" si="257">IF(AND($C768=4,$E768&gt;0,OR($N768="SF Detached",$N768="Duplex",$N768="Mfd Home"),NOT($P768="Yes")),$E768,0)</f>
        <v>0</v>
      </c>
    </row>
    <row r="769" spans="1:277" ht="12" customHeight="1">
      <c r="A769" s="1837" t="str">
        <f t="shared" si="0"/>
        <v/>
      </c>
      <c r="B769" s="1846" t="str">
        <f>'Part VI-Revenues &amp; Expenses'!B12</f>
        <v>50% AMI</v>
      </c>
      <c r="C769" s="1847">
        <f>'Part VI-Revenues &amp; Expenses'!C12</f>
        <v>1</v>
      </c>
      <c r="D769" s="1848">
        <f>'Part VI-Revenues &amp; Expenses'!D12</f>
        <v>1</v>
      </c>
      <c r="E769" s="1849">
        <f>'Part VI-Revenues &amp; Expenses'!E12</f>
        <v>6</v>
      </c>
      <c r="F769" s="1849">
        <f>'Part VI-Revenues &amp; Expenses'!F12</f>
        <v>820</v>
      </c>
      <c r="G769" s="1849">
        <f>'Part VI-Revenues &amp; Expenses'!G12</f>
        <v>653</v>
      </c>
      <c r="H769" s="1849">
        <f>'Part VI-Revenues &amp; Expenses'!H12</f>
        <v>653</v>
      </c>
      <c r="I769" s="1849">
        <f>'Part VI-Revenues &amp; Expenses'!I12</f>
        <v>118.25</v>
      </c>
      <c r="J769" s="1850">
        <f>'Part VI-Revenues &amp; Expenses'!J12</f>
        <v>0</v>
      </c>
      <c r="K769" s="1851">
        <f t="shared" si="1"/>
        <v>534.75</v>
      </c>
      <c r="L769" s="1851">
        <f t="shared" si="2"/>
        <v>3208.5</v>
      </c>
      <c r="M769" s="1725" t="str">
        <f>'Part VI-Revenues &amp; Expenses'!M12</f>
        <v>No</v>
      </c>
      <c r="N769" s="1725" t="str">
        <f>'Part VI-Revenues &amp; Expenses'!N12</f>
        <v>3+ Story</v>
      </c>
      <c r="O769" s="1725" t="str">
        <f>'Part VI-Revenues &amp; Expenses'!O12</f>
        <v>Rehabilitation</v>
      </c>
      <c r="P769" s="1831" t="str">
        <f>'Part VI-Revenues &amp; Expenses'!P12</f>
        <v>No</v>
      </c>
      <c r="Q769" s="1852">
        <f>'Part VI-Revenues &amp; Expenses'!Q12</f>
        <v>26120</v>
      </c>
      <c r="R769" s="1853">
        <f>'Part VI-Revenues &amp; Expenses'!R12</f>
        <v>0.49966523194643714</v>
      </c>
      <c r="S769" s="1852">
        <f>'Part VI-Revenues &amp; Expenses'!S12</f>
        <v>0</v>
      </c>
      <c r="T769" s="1853">
        <f>'Part VI-Revenues &amp; Expenses'!T12</f>
        <v>0</v>
      </c>
      <c r="U769" s="1775"/>
      <c r="V769" s="1775"/>
      <c r="W769" s="683" t="str">
        <f t="shared" si="3"/>
        <v/>
      </c>
      <c r="X769" s="683" t="str">
        <f t="shared" si="4"/>
        <v/>
      </c>
      <c r="Y769" s="683" t="str">
        <f t="shared" si="5"/>
        <v/>
      </c>
      <c r="Z769" s="683" t="str">
        <f t="shared" si="6"/>
        <v/>
      </c>
      <c r="AA769" s="683" t="str">
        <f t="shared" si="7"/>
        <v/>
      </c>
      <c r="AB769" s="683" t="str">
        <f t="shared" si="8"/>
        <v/>
      </c>
      <c r="AC769" s="683">
        <f t="shared" si="9"/>
        <v>6</v>
      </c>
      <c r="AD769" s="683" t="str">
        <f t="shared" si="10"/>
        <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f t="shared" si="64"/>
        <v>4920</v>
      </c>
      <c r="CG769" s="683" t="str">
        <f t="shared" si="65"/>
        <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t="str">
        <f t="shared" si="90"/>
        <v/>
      </c>
      <c r="DG769" s="683" t="str">
        <f t="shared" si="91"/>
        <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f t="shared" si="119"/>
        <v>6</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1854" t="str">
        <f t="shared" si="133"/>
        <v/>
      </c>
      <c r="EX769" s="1854">
        <f t="shared" si="134"/>
        <v>6</v>
      </c>
      <c r="EY769" s="1854" t="str">
        <f t="shared" si="135"/>
        <v/>
      </c>
      <c r="EZ769" s="1854" t="str">
        <f t="shared" si="136"/>
        <v/>
      </c>
      <c r="FA769" s="1854" t="str">
        <f t="shared" si="137"/>
        <v/>
      </c>
      <c r="FB769" s="1854" t="str">
        <f t="shared" si="138"/>
        <v/>
      </c>
      <c r="FC769" s="1854" t="str">
        <f t="shared" si="139"/>
        <v/>
      </c>
      <c r="FD769" s="1854" t="str">
        <f t="shared" si="140"/>
        <v/>
      </c>
      <c r="FE769" s="1854" t="str">
        <f t="shared" si="141"/>
        <v/>
      </c>
      <c r="FF769" s="1854" t="str">
        <f t="shared" si="142"/>
        <v/>
      </c>
      <c r="FG769" s="1854" t="str">
        <f t="shared" si="143"/>
        <v/>
      </c>
      <c r="FH769" s="1854" t="str">
        <f t="shared" si="144"/>
        <v/>
      </c>
      <c r="FI769" s="1854" t="str">
        <f t="shared" si="145"/>
        <v/>
      </c>
      <c r="FJ769" s="1854" t="str">
        <f t="shared" si="146"/>
        <v/>
      </c>
      <c r="FK769" s="1854" t="str">
        <f t="shared" si="147"/>
        <v/>
      </c>
      <c r="FL769" s="1854" t="str">
        <f t="shared" si="148"/>
        <v/>
      </c>
      <c r="FM769" s="1854" t="str">
        <f t="shared" si="149"/>
        <v/>
      </c>
      <c r="FN769" s="1854" t="str">
        <f t="shared" si="150"/>
        <v/>
      </c>
      <c r="FO769" s="1854" t="str">
        <f t="shared" si="151"/>
        <v/>
      </c>
      <c r="FP769" s="1854" t="str">
        <f t="shared" si="152"/>
        <v/>
      </c>
      <c r="FQ769" s="1854" t="str">
        <f t="shared" si="153"/>
        <v/>
      </c>
      <c r="FR769" s="1854" t="str">
        <f t="shared" si="154"/>
        <v/>
      </c>
      <c r="FS769" s="1854" t="str">
        <f t="shared" si="155"/>
        <v/>
      </c>
      <c r="FT769" s="1854" t="str">
        <f t="shared" si="156"/>
        <v/>
      </c>
      <c r="FU769" s="1854" t="str">
        <f t="shared" si="157"/>
        <v/>
      </c>
      <c r="FV769" s="1854" t="str">
        <f t="shared" si="158"/>
        <v/>
      </c>
      <c r="FW769" s="1854" t="str">
        <f t="shared" si="159"/>
        <v/>
      </c>
      <c r="FX769" s="1854" t="str">
        <f t="shared" si="160"/>
        <v/>
      </c>
      <c r="FY769" s="1854" t="str">
        <f t="shared" si="161"/>
        <v/>
      </c>
      <c r="FZ769" s="1854" t="str">
        <f t="shared" si="162"/>
        <v/>
      </c>
      <c r="GA769" s="1854" t="str">
        <f t="shared" si="163"/>
        <v/>
      </c>
      <c r="GB769" s="1854" t="str">
        <f t="shared" si="164"/>
        <v/>
      </c>
      <c r="GC769" s="1854" t="str">
        <f t="shared" si="165"/>
        <v/>
      </c>
      <c r="GD769" s="1854" t="str">
        <f t="shared" si="166"/>
        <v/>
      </c>
      <c r="GE769" s="1854" t="str">
        <f t="shared" si="167"/>
        <v/>
      </c>
      <c r="GF769" s="1854" t="str">
        <f t="shared" si="168"/>
        <v/>
      </c>
      <c r="GG769" s="1854" t="str">
        <f t="shared" si="169"/>
        <v/>
      </c>
      <c r="GH769" s="1854" t="str">
        <f t="shared" si="170"/>
        <v/>
      </c>
      <c r="GI769" s="1854" t="str">
        <f t="shared" si="171"/>
        <v/>
      </c>
      <c r="GJ769" s="1854" t="str">
        <f t="shared" si="172"/>
        <v/>
      </c>
      <c r="GK769" s="1854" t="str">
        <f t="shared" si="173"/>
        <v/>
      </c>
      <c r="GL769" s="1854" t="str">
        <f t="shared" si="174"/>
        <v/>
      </c>
      <c r="GM769" s="1854" t="str">
        <f t="shared" si="175"/>
        <v/>
      </c>
      <c r="GN769" s="1854" t="str">
        <f t="shared" si="176"/>
        <v/>
      </c>
      <c r="GO769" s="1854" t="str">
        <f t="shared" si="177"/>
        <v/>
      </c>
      <c r="GP769" s="1854" t="str">
        <f t="shared" si="178"/>
        <v/>
      </c>
      <c r="GQ769" s="1854" t="str">
        <f t="shared" si="179"/>
        <v/>
      </c>
      <c r="GR769" s="1854" t="str">
        <f t="shared" si="180"/>
        <v/>
      </c>
      <c r="GS769" s="1854" t="str">
        <f t="shared" si="181"/>
        <v/>
      </c>
      <c r="GT769" s="1854" t="str">
        <f t="shared" si="182"/>
        <v/>
      </c>
      <c r="GU769" s="1854" t="str">
        <f t="shared" si="183"/>
        <v/>
      </c>
      <c r="GV769" s="1854" t="str">
        <f t="shared" si="184"/>
        <v/>
      </c>
      <c r="GW769" s="1854" t="str">
        <f t="shared" si="185"/>
        <v/>
      </c>
      <c r="GX769" s="1854" t="str">
        <f t="shared" si="186"/>
        <v/>
      </c>
      <c r="GY769" s="1854" t="str">
        <f t="shared" si="187"/>
        <v/>
      </c>
      <c r="GZ769" s="1854" t="str">
        <f t="shared" si="188"/>
        <v/>
      </c>
      <c r="HA769" s="1854" t="str">
        <f t="shared" si="189"/>
        <v/>
      </c>
      <c r="HB769" s="1854" t="str">
        <f t="shared" si="190"/>
        <v/>
      </c>
      <c r="HC769" s="1854" t="str">
        <f t="shared" si="191"/>
        <v/>
      </c>
      <c r="HD769" s="1854" t="str">
        <f t="shared" si="192"/>
        <v/>
      </c>
      <c r="HE769" s="1854" t="str">
        <f t="shared" si="193"/>
        <v/>
      </c>
      <c r="HF769" s="1854" t="str">
        <f t="shared" si="194"/>
        <v/>
      </c>
      <c r="HG769" s="1854" t="str">
        <f t="shared" si="195"/>
        <v/>
      </c>
      <c r="HH769" s="1854" t="str">
        <f t="shared" si="196"/>
        <v/>
      </c>
      <c r="HI769" s="1854" t="str">
        <f t="shared" si="197"/>
        <v/>
      </c>
      <c r="HJ769" s="1854" t="str">
        <f t="shared" si="198"/>
        <v/>
      </c>
      <c r="HK769" s="1854" t="str">
        <f t="shared" si="199"/>
        <v/>
      </c>
      <c r="HL769" s="1854" t="str">
        <f t="shared" si="200"/>
        <v/>
      </c>
      <c r="HM769" s="1854" t="str">
        <f t="shared" si="201"/>
        <v/>
      </c>
      <c r="HN769" s="1854" t="str">
        <f t="shared" si="202"/>
        <v/>
      </c>
      <c r="HO769" s="1854" t="str">
        <f t="shared" si="203"/>
        <v/>
      </c>
      <c r="HP769" s="1854" t="str">
        <f t="shared" si="204"/>
        <v/>
      </c>
      <c r="HQ769" s="1854" t="str">
        <f t="shared" si="205"/>
        <v/>
      </c>
      <c r="HR769" s="1854" t="str">
        <f t="shared" si="206"/>
        <v/>
      </c>
      <c r="HS769" s="1854" t="str">
        <f t="shared" si="207"/>
        <v/>
      </c>
      <c r="HT769" s="1854" t="str">
        <f t="shared" si="208"/>
        <v/>
      </c>
      <c r="HU769" s="1854">
        <f t="shared" si="209"/>
        <v>6</v>
      </c>
      <c r="HV769" s="1854" t="str">
        <f t="shared" si="210"/>
        <v/>
      </c>
      <c r="HW769" s="1854" t="str">
        <f t="shared" si="211"/>
        <v/>
      </c>
      <c r="HX769" s="1854" t="str">
        <f t="shared" si="212"/>
        <v/>
      </c>
      <c r="HY769" s="1854" t="str">
        <f t="shared" si="213"/>
        <v/>
      </c>
      <c r="HZ769" s="1854" t="str">
        <f t="shared" si="214"/>
        <v/>
      </c>
      <c r="IA769" s="1854" t="str">
        <f t="shared" si="215"/>
        <v/>
      </c>
      <c r="IB769" s="1854" t="str">
        <f t="shared" si="216"/>
        <v/>
      </c>
      <c r="IC769" s="1854" t="str">
        <f t="shared" si="217"/>
        <v/>
      </c>
      <c r="ID769" s="1826" t="str">
        <f t="shared" si="218"/>
        <v/>
      </c>
      <c r="IE769" s="1826" t="str">
        <f t="shared" si="219"/>
        <v/>
      </c>
      <c r="IF769" s="1826" t="str">
        <f t="shared" si="220"/>
        <v/>
      </c>
      <c r="IG769" s="1826" t="str">
        <f t="shared" si="221"/>
        <v/>
      </c>
      <c r="IH769" s="1826"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1824">
        <f t="shared" si="243"/>
        <v>0</v>
      </c>
      <c r="JD769" s="1824">
        <f t="shared" si="244"/>
        <v>6</v>
      </c>
      <c r="JE769" s="1824">
        <f t="shared" si="245"/>
        <v>0</v>
      </c>
      <c r="JF769" s="1824">
        <f t="shared" si="246"/>
        <v>0</v>
      </c>
      <c r="JG769" s="1824">
        <f t="shared" si="247"/>
        <v>0</v>
      </c>
      <c r="JH769" s="1824">
        <f t="shared" si="248"/>
        <v>0</v>
      </c>
      <c r="JI769" s="1824">
        <f t="shared" si="249"/>
        <v>0</v>
      </c>
      <c r="JJ769" s="1824">
        <f t="shared" si="250"/>
        <v>0</v>
      </c>
      <c r="JK769" s="1824">
        <f t="shared" si="251"/>
        <v>0</v>
      </c>
      <c r="JL769" s="1824">
        <f t="shared" si="252"/>
        <v>0</v>
      </c>
      <c r="JM769" s="1824">
        <f t="shared" si="253"/>
        <v>0</v>
      </c>
      <c r="JN769" s="1824">
        <f t="shared" si="254"/>
        <v>0</v>
      </c>
      <c r="JO769" s="1824">
        <f t="shared" si="255"/>
        <v>0</v>
      </c>
      <c r="JP769" s="1824">
        <f t="shared" si="256"/>
        <v>0</v>
      </c>
      <c r="JQ769" s="1824">
        <f t="shared" si="257"/>
        <v>0</v>
      </c>
    </row>
    <row r="770" spans="1:277" ht="12" customHeight="1">
      <c r="A770" s="1837" t="str">
        <f t="shared" si="0"/>
        <v/>
      </c>
      <c r="B770" s="1846" t="str">
        <f>'Part VI-Revenues &amp; Expenses'!B13</f>
        <v>60% AMI</v>
      </c>
      <c r="C770" s="1847" t="str">
        <f>'Part VI-Revenues &amp; Expenses'!C13</f>
        <v>Efficiency</v>
      </c>
      <c r="D770" s="1848">
        <f>'Part VI-Revenues &amp; Expenses'!D13</f>
        <v>1</v>
      </c>
      <c r="E770" s="1849">
        <f>'Part VI-Revenues &amp; Expenses'!E13</f>
        <v>69</v>
      </c>
      <c r="F770" s="1849">
        <f>'Part VI-Revenues &amp; Expenses'!F13</f>
        <v>520</v>
      </c>
      <c r="G770" s="1849">
        <f>'Part VI-Revenues &amp; Expenses'!G13</f>
        <v>732</v>
      </c>
      <c r="H770" s="1849">
        <f>'Part VI-Revenues &amp; Expenses'!H13</f>
        <v>691</v>
      </c>
      <c r="I770" s="1849">
        <f>'Part VI-Revenues &amp; Expenses'!I13</f>
        <v>115.58</v>
      </c>
      <c r="J770" s="1850">
        <f>'Part VI-Revenues &amp; Expenses'!J13</f>
        <v>0</v>
      </c>
      <c r="K770" s="1851">
        <f t="shared" si="1"/>
        <v>575.41999999999996</v>
      </c>
      <c r="L770" s="1851">
        <f t="shared" si="2"/>
        <v>39703.979999999996</v>
      </c>
      <c r="M770" s="1725" t="str">
        <f>'Part VI-Revenues &amp; Expenses'!M13</f>
        <v>No</v>
      </c>
      <c r="N770" s="1725" t="str">
        <f>'Part VI-Revenues &amp; Expenses'!N13</f>
        <v>3+ Story</v>
      </c>
      <c r="O770" s="1725" t="str">
        <f>'Part VI-Revenues &amp; Expenses'!O13</f>
        <v>Rehabilitation</v>
      </c>
      <c r="P770" s="1831" t="str">
        <f>'Part VI-Revenues &amp; Expenses'!P13</f>
        <v>No</v>
      </c>
      <c r="Q770" s="1852">
        <f>'Part VI-Revenues &amp; Expenses'!Q13</f>
        <v>27640</v>
      </c>
      <c r="R770" s="1853">
        <f>'Part VI-Revenues &amp; Expenses'!R13</f>
        <v>0.56650953064152487</v>
      </c>
      <c r="S770" s="1852">
        <f>'Part VI-Revenues &amp; Expenses'!S13</f>
        <v>0</v>
      </c>
      <c r="T770" s="1853">
        <f>'Part VI-Revenues &amp; Expenses'!T13</f>
        <v>0</v>
      </c>
      <c r="U770" s="1775"/>
      <c r="V770" s="1775"/>
      <c r="W770" s="683">
        <f t="shared" si="3"/>
        <v>69</v>
      </c>
      <c r="X770" s="683" t="str">
        <f t="shared" si="4"/>
        <v/>
      </c>
      <c r="Y770" s="683" t="str">
        <f t="shared" si="5"/>
        <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f t="shared" si="58"/>
        <v>35880</v>
      </c>
      <c r="CA770" s="683" t="str">
        <f t="shared" si="59"/>
        <v/>
      </c>
      <c r="CB770" s="683" t="str">
        <f t="shared" si="60"/>
        <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t="str">
        <f t="shared" si="90"/>
        <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f t="shared" si="118"/>
        <v>69</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1854">
        <f t="shared" si="133"/>
        <v>69</v>
      </c>
      <c r="EX770" s="1854" t="str">
        <f t="shared" si="134"/>
        <v/>
      </c>
      <c r="EY770" s="1854" t="str">
        <f t="shared" si="135"/>
        <v/>
      </c>
      <c r="EZ770" s="1854" t="str">
        <f t="shared" si="136"/>
        <v/>
      </c>
      <c r="FA770" s="1854" t="str">
        <f t="shared" si="137"/>
        <v/>
      </c>
      <c r="FB770" s="1854" t="str">
        <f t="shared" si="138"/>
        <v/>
      </c>
      <c r="FC770" s="1854" t="str">
        <f t="shared" si="139"/>
        <v/>
      </c>
      <c r="FD770" s="1854" t="str">
        <f t="shared" si="140"/>
        <v/>
      </c>
      <c r="FE770" s="1854" t="str">
        <f t="shared" si="141"/>
        <v/>
      </c>
      <c r="FF770" s="1854" t="str">
        <f t="shared" si="142"/>
        <v/>
      </c>
      <c r="FG770" s="1854" t="str">
        <f t="shared" si="143"/>
        <v/>
      </c>
      <c r="FH770" s="1854" t="str">
        <f t="shared" si="144"/>
        <v/>
      </c>
      <c r="FI770" s="1854" t="str">
        <f t="shared" si="145"/>
        <v/>
      </c>
      <c r="FJ770" s="1854" t="str">
        <f t="shared" si="146"/>
        <v/>
      </c>
      <c r="FK770" s="1854" t="str">
        <f t="shared" si="147"/>
        <v/>
      </c>
      <c r="FL770" s="1854" t="str">
        <f t="shared" si="148"/>
        <v/>
      </c>
      <c r="FM770" s="1854" t="str">
        <f t="shared" si="149"/>
        <v/>
      </c>
      <c r="FN770" s="1854" t="str">
        <f t="shared" si="150"/>
        <v/>
      </c>
      <c r="FO770" s="1854" t="str">
        <f t="shared" si="151"/>
        <v/>
      </c>
      <c r="FP770" s="1854" t="str">
        <f t="shared" si="152"/>
        <v/>
      </c>
      <c r="FQ770" s="1854" t="str">
        <f t="shared" si="153"/>
        <v/>
      </c>
      <c r="FR770" s="1854" t="str">
        <f t="shared" si="154"/>
        <v/>
      </c>
      <c r="FS770" s="1854" t="str">
        <f t="shared" si="155"/>
        <v/>
      </c>
      <c r="FT770" s="1854" t="str">
        <f t="shared" si="156"/>
        <v/>
      </c>
      <c r="FU770" s="1854" t="str">
        <f t="shared" si="157"/>
        <v/>
      </c>
      <c r="FV770" s="1854" t="str">
        <f t="shared" si="158"/>
        <v/>
      </c>
      <c r="FW770" s="1854" t="str">
        <f t="shared" si="159"/>
        <v/>
      </c>
      <c r="FX770" s="1854" t="str">
        <f t="shared" si="160"/>
        <v/>
      </c>
      <c r="FY770" s="1854" t="str">
        <f t="shared" si="161"/>
        <v/>
      </c>
      <c r="FZ770" s="1854" t="str">
        <f t="shared" si="162"/>
        <v/>
      </c>
      <c r="GA770" s="1854" t="str">
        <f t="shared" si="163"/>
        <v/>
      </c>
      <c r="GB770" s="1854" t="str">
        <f t="shared" si="164"/>
        <v/>
      </c>
      <c r="GC770" s="1854" t="str">
        <f t="shared" si="165"/>
        <v/>
      </c>
      <c r="GD770" s="1854" t="str">
        <f t="shared" si="166"/>
        <v/>
      </c>
      <c r="GE770" s="1854" t="str">
        <f t="shared" si="167"/>
        <v/>
      </c>
      <c r="GF770" s="1854" t="str">
        <f t="shared" si="168"/>
        <v/>
      </c>
      <c r="GG770" s="1854" t="str">
        <f t="shared" si="169"/>
        <v/>
      </c>
      <c r="GH770" s="1854" t="str">
        <f t="shared" si="170"/>
        <v/>
      </c>
      <c r="GI770" s="1854" t="str">
        <f t="shared" si="171"/>
        <v/>
      </c>
      <c r="GJ770" s="1854" t="str">
        <f t="shared" si="172"/>
        <v/>
      </c>
      <c r="GK770" s="1854" t="str">
        <f t="shared" si="173"/>
        <v/>
      </c>
      <c r="GL770" s="1854" t="str">
        <f t="shared" si="174"/>
        <v/>
      </c>
      <c r="GM770" s="1854" t="str">
        <f t="shared" si="175"/>
        <v/>
      </c>
      <c r="GN770" s="1854" t="str">
        <f t="shared" si="176"/>
        <v/>
      </c>
      <c r="GO770" s="1854" t="str">
        <f t="shared" si="177"/>
        <v/>
      </c>
      <c r="GP770" s="1854" t="str">
        <f t="shared" si="178"/>
        <v/>
      </c>
      <c r="GQ770" s="1854" t="str">
        <f t="shared" si="179"/>
        <v/>
      </c>
      <c r="GR770" s="1854" t="str">
        <f t="shared" si="180"/>
        <v/>
      </c>
      <c r="GS770" s="1854" t="str">
        <f t="shared" si="181"/>
        <v/>
      </c>
      <c r="GT770" s="1854" t="str">
        <f t="shared" si="182"/>
        <v/>
      </c>
      <c r="GU770" s="1854" t="str">
        <f t="shared" si="183"/>
        <v/>
      </c>
      <c r="GV770" s="1854" t="str">
        <f t="shared" si="184"/>
        <v/>
      </c>
      <c r="GW770" s="1854" t="str">
        <f t="shared" si="185"/>
        <v/>
      </c>
      <c r="GX770" s="1854" t="str">
        <f t="shared" si="186"/>
        <v/>
      </c>
      <c r="GY770" s="1854" t="str">
        <f t="shared" si="187"/>
        <v/>
      </c>
      <c r="GZ770" s="1854" t="str">
        <f t="shared" si="188"/>
        <v/>
      </c>
      <c r="HA770" s="1854" t="str">
        <f t="shared" si="189"/>
        <v/>
      </c>
      <c r="HB770" s="1854" t="str">
        <f t="shared" si="190"/>
        <v/>
      </c>
      <c r="HC770" s="1854" t="str">
        <f t="shared" si="191"/>
        <v/>
      </c>
      <c r="HD770" s="1854" t="str">
        <f t="shared" si="192"/>
        <v/>
      </c>
      <c r="HE770" s="1854" t="str">
        <f t="shared" si="193"/>
        <v/>
      </c>
      <c r="HF770" s="1854" t="str">
        <f t="shared" si="194"/>
        <v/>
      </c>
      <c r="HG770" s="1854" t="str">
        <f t="shared" si="195"/>
        <v/>
      </c>
      <c r="HH770" s="1854" t="str">
        <f t="shared" si="196"/>
        <v/>
      </c>
      <c r="HI770" s="1854" t="str">
        <f t="shared" si="197"/>
        <v/>
      </c>
      <c r="HJ770" s="1854" t="str">
        <f t="shared" si="198"/>
        <v/>
      </c>
      <c r="HK770" s="1854" t="str">
        <f t="shared" si="199"/>
        <v/>
      </c>
      <c r="HL770" s="1854" t="str">
        <f t="shared" si="200"/>
        <v/>
      </c>
      <c r="HM770" s="1854" t="str">
        <f t="shared" si="201"/>
        <v/>
      </c>
      <c r="HN770" s="1854" t="str">
        <f t="shared" si="202"/>
        <v/>
      </c>
      <c r="HO770" s="1854" t="str">
        <f t="shared" si="203"/>
        <v/>
      </c>
      <c r="HP770" s="1854" t="str">
        <f t="shared" si="204"/>
        <v/>
      </c>
      <c r="HQ770" s="1854" t="str">
        <f t="shared" si="205"/>
        <v/>
      </c>
      <c r="HR770" s="1854" t="str">
        <f t="shared" si="206"/>
        <v/>
      </c>
      <c r="HS770" s="1854" t="str">
        <f t="shared" si="207"/>
        <v/>
      </c>
      <c r="HT770" s="1854">
        <f t="shared" si="208"/>
        <v>69</v>
      </c>
      <c r="HU770" s="1854" t="str">
        <f t="shared" si="209"/>
        <v/>
      </c>
      <c r="HV770" s="1854" t="str">
        <f t="shared" si="210"/>
        <v/>
      </c>
      <c r="HW770" s="1854" t="str">
        <f t="shared" si="211"/>
        <v/>
      </c>
      <c r="HX770" s="1854" t="str">
        <f t="shared" si="212"/>
        <v/>
      </c>
      <c r="HY770" s="1854" t="str">
        <f t="shared" si="213"/>
        <v/>
      </c>
      <c r="HZ770" s="1854" t="str">
        <f t="shared" si="214"/>
        <v/>
      </c>
      <c r="IA770" s="1854" t="str">
        <f t="shared" si="215"/>
        <v/>
      </c>
      <c r="IB770" s="1854" t="str">
        <f t="shared" si="216"/>
        <v/>
      </c>
      <c r="IC770" s="1854" t="str">
        <f t="shared" si="217"/>
        <v/>
      </c>
      <c r="ID770" s="1826" t="str">
        <f t="shared" si="218"/>
        <v/>
      </c>
      <c r="IE770" s="1826" t="str">
        <f t="shared" si="219"/>
        <v/>
      </c>
      <c r="IF770" s="1826" t="str">
        <f t="shared" si="220"/>
        <v/>
      </c>
      <c r="IG770" s="1826" t="str">
        <f t="shared" si="221"/>
        <v/>
      </c>
      <c r="IH770" s="1826"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1824">
        <f t="shared" si="243"/>
        <v>69</v>
      </c>
      <c r="JD770" s="1824">
        <f t="shared" si="244"/>
        <v>0</v>
      </c>
      <c r="JE770" s="1824">
        <f t="shared" si="245"/>
        <v>0</v>
      </c>
      <c r="JF770" s="1824">
        <f t="shared" si="246"/>
        <v>0</v>
      </c>
      <c r="JG770" s="1824">
        <f t="shared" si="247"/>
        <v>0</v>
      </c>
      <c r="JH770" s="1824">
        <f t="shared" si="248"/>
        <v>0</v>
      </c>
      <c r="JI770" s="1824">
        <f t="shared" si="249"/>
        <v>0</v>
      </c>
      <c r="JJ770" s="1824">
        <f t="shared" si="250"/>
        <v>0</v>
      </c>
      <c r="JK770" s="1824">
        <f t="shared" si="251"/>
        <v>0</v>
      </c>
      <c r="JL770" s="1824">
        <f t="shared" si="252"/>
        <v>0</v>
      </c>
      <c r="JM770" s="1824">
        <f t="shared" si="253"/>
        <v>0</v>
      </c>
      <c r="JN770" s="1824">
        <f t="shared" si="254"/>
        <v>0</v>
      </c>
      <c r="JO770" s="1824">
        <f t="shared" si="255"/>
        <v>0</v>
      </c>
      <c r="JP770" s="1824">
        <f t="shared" si="256"/>
        <v>0</v>
      </c>
      <c r="JQ770" s="1824">
        <f t="shared" si="257"/>
        <v>0</v>
      </c>
    </row>
    <row r="771" spans="1:277" ht="12" customHeight="1">
      <c r="A771" s="1837" t="str">
        <f t="shared" si="0"/>
        <v/>
      </c>
      <c r="B771" s="1846" t="str">
        <f>'Part VI-Revenues &amp; Expenses'!B14</f>
        <v>60% AMI</v>
      </c>
      <c r="C771" s="1847" t="str">
        <f>'Part VI-Revenues &amp; Expenses'!C14</f>
        <v>Efficiency</v>
      </c>
      <c r="D771" s="1848">
        <f>'Part VI-Revenues &amp; Expenses'!D14</f>
        <v>1</v>
      </c>
      <c r="E771" s="1849">
        <f>'Part VI-Revenues &amp; Expenses'!E14</f>
        <v>7</v>
      </c>
      <c r="F771" s="1849">
        <f>'Part VI-Revenues &amp; Expenses'!F14</f>
        <v>600</v>
      </c>
      <c r="G771" s="1849">
        <f>'Part VI-Revenues &amp; Expenses'!G14</f>
        <v>732</v>
      </c>
      <c r="H771" s="1849">
        <f>'Part VI-Revenues &amp; Expenses'!H14</f>
        <v>688</v>
      </c>
      <c r="I771" s="1849">
        <f>'Part VI-Revenues &amp; Expenses'!I14</f>
        <v>113.33</v>
      </c>
      <c r="J771" s="1850">
        <f>'Part VI-Revenues &amp; Expenses'!J14</f>
        <v>0</v>
      </c>
      <c r="K771" s="1851">
        <f t="shared" si="1"/>
        <v>574.66999999999996</v>
      </c>
      <c r="L771" s="1851">
        <f t="shared" si="2"/>
        <v>4022.6899999999996</v>
      </c>
      <c r="M771" s="1725" t="str">
        <f>'Part VI-Revenues &amp; Expenses'!M14</f>
        <v>No</v>
      </c>
      <c r="N771" s="1725" t="str">
        <f>'Part VI-Revenues &amp; Expenses'!N14</f>
        <v>3+ Story</v>
      </c>
      <c r="O771" s="1725" t="str">
        <f>'Part VI-Revenues &amp; Expenses'!O14</f>
        <v>Rehabilitation</v>
      </c>
      <c r="P771" s="1831" t="str">
        <f>'Part VI-Revenues &amp; Expenses'!P14</f>
        <v>No</v>
      </c>
      <c r="Q771" s="1852">
        <f>'Part VI-Revenues &amp; Expenses'!Q14</f>
        <v>27520</v>
      </c>
      <c r="R771" s="1853">
        <f>'Part VI-Revenues &amp; Expenses'!R14</f>
        <v>0.56405001024800161</v>
      </c>
      <c r="S771" s="1852">
        <f>'Part VI-Revenues &amp; Expenses'!S14</f>
        <v>0</v>
      </c>
      <c r="T771" s="1853">
        <f>'Part VI-Revenues &amp; Expenses'!T14</f>
        <v>0</v>
      </c>
      <c r="U771" s="1775"/>
      <c r="V771" s="1775"/>
      <c r="W771" s="683">
        <f t="shared" si="3"/>
        <v>7</v>
      </c>
      <c r="X771" s="683" t="str">
        <f t="shared" si="4"/>
        <v/>
      </c>
      <c r="Y771" s="683" t="str">
        <f t="shared" si="5"/>
        <v/>
      </c>
      <c r="Z771" s="683" t="str">
        <f t="shared" si="6"/>
        <v/>
      </c>
      <c r="AA771" s="683" t="str">
        <f t="shared" si="7"/>
        <v/>
      </c>
      <c r="AB771" s="683" t="str">
        <f t="shared" si="8"/>
        <v/>
      </c>
      <c r="AC771" s="683" t="str">
        <f t="shared" si="9"/>
        <v/>
      </c>
      <c r="AD771" s="683" t="str">
        <f t="shared" si="10"/>
        <v/>
      </c>
      <c r="AE771" s="683" t="str">
        <f t="shared" si="11"/>
        <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f t="shared" si="58"/>
        <v>4200</v>
      </c>
      <c r="CA771" s="683" t="str">
        <f t="shared" si="59"/>
        <v/>
      </c>
      <c r="CB771" s="683" t="str">
        <f t="shared" si="60"/>
        <v/>
      </c>
      <c r="CC771" s="683" t="str">
        <f t="shared" si="61"/>
        <v/>
      </c>
      <c r="CD771" s="683" t="str">
        <f t="shared" si="62"/>
        <v/>
      </c>
      <c r="CE771" s="683" t="str">
        <f t="shared" si="63"/>
        <v/>
      </c>
      <c r="CF771" s="683" t="str">
        <f t="shared" si="64"/>
        <v/>
      </c>
      <c r="CG771" s="683" t="str">
        <f t="shared" si="65"/>
        <v/>
      </c>
      <c r="CH771" s="683" t="str">
        <f t="shared" si="66"/>
        <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t="str">
        <f t="shared" si="90"/>
        <v/>
      </c>
      <c r="DG771" s="683" t="str">
        <f t="shared" si="91"/>
        <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f t="shared" si="118"/>
        <v>7</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1854">
        <f t="shared" si="133"/>
        <v>7</v>
      </c>
      <c r="EX771" s="1854" t="str">
        <f t="shared" si="134"/>
        <v/>
      </c>
      <c r="EY771" s="1854" t="str">
        <f t="shared" si="135"/>
        <v/>
      </c>
      <c r="EZ771" s="1854" t="str">
        <f t="shared" si="136"/>
        <v/>
      </c>
      <c r="FA771" s="1854" t="str">
        <f t="shared" si="137"/>
        <v/>
      </c>
      <c r="FB771" s="1854" t="str">
        <f t="shared" si="138"/>
        <v/>
      </c>
      <c r="FC771" s="1854" t="str">
        <f t="shared" si="139"/>
        <v/>
      </c>
      <c r="FD771" s="1854" t="str">
        <f t="shared" si="140"/>
        <v/>
      </c>
      <c r="FE771" s="1854" t="str">
        <f t="shared" si="141"/>
        <v/>
      </c>
      <c r="FF771" s="1854" t="str">
        <f t="shared" si="142"/>
        <v/>
      </c>
      <c r="FG771" s="1854" t="str">
        <f t="shared" si="143"/>
        <v/>
      </c>
      <c r="FH771" s="1854" t="str">
        <f t="shared" si="144"/>
        <v/>
      </c>
      <c r="FI771" s="1854" t="str">
        <f t="shared" si="145"/>
        <v/>
      </c>
      <c r="FJ771" s="1854" t="str">
        <f t="shared" si="146"/>
        <v/>
      </c>
      <c r="FK771" s="1854" t="str">
        <f t="shared" si="147"/>
        <v/>
      </c>
      <c r="FL771" s="1854" t="str">
        <f t="shared" si="148"/>
        <v/>
      </c>
      <c r="FM771" s="1854" t="str">
        <f t="shared" si="149"/>
        <v/>
      </c>
      <c r="FN771" s="1854" t="str">
        <f t="shared" si="150"/>
        <v/>
      </c>
      <c r="FO771" s="1854" t="str">
        <f t="shared" si="151"/>
        <v/>
      </c>
      <c r="FP771" s="1854" t="str">
        <f t="shared" si="152"/>
        <v/>
      </c>
      <c r="FQ771" s="1854" t="str">
        <f t="shared" si="153"/>
        <v/>
      </c>
      <c r="FR771" s="1854" t="str">
        <f t="shared" si="154"/>
        <v/>
      </c>
      <c r="FS771" s="1854" t="str">
        <f t="shared" si="155"/>
        <v/>
      </c>
      <c r="FT771" s="1854" t="str">
        <f t="shared" si="156"/>
        <v/>
      </c>
      <c r="FU771" s="1854" t="str">
        <f t="shared" si="157"/>
        <v/>
      </c>
      <c r="FV771" s="1854" t="str">
        <f t="shared" si="158"/>
        <v/>
      </c>
      <c r="FW771" s="1854" t="str">
        <f t="shared" si="159"/>
        <v/>
      </c>
      <c r="FX771" s="1854" t="str">
        <f t="shared" si="160"/>
        <v/>
      </c>
      <c r="FY771" s="1854" t="str">
        <f t="shared" si="161"/>
        <v/>
      </c>
      <c r="FZ771" s="1854" t="str">
        <f t="shared" si="162"/>
        <v/>
      </c>
      <c r="GA771" s="1854" t="str">
        <f t="shared" si="163"/>
        <v/>
      </c>
      <c r="GB771" s="1854" t="str">
        <f t="shared" si="164"/>
        <v/>
      </c>
      <c r="GC771" s="1854" t="str">
        <f t="shared" si="165"/>
        <v/>
      </c>
      <c r="GD771" s="1854" t="str">
        <f t="shared" si="166"/>
        <v/>
      </c>
      <c r="GE771" s="1854" t="str">
        <f t="shared" si="167"/>
        <v/>
      </c>
      <c r="GF771" s="1854" t="str">
        <f t="shared" si="168"/>
        <v/>
      </c>
      <c r="GG771" s="1854" t="str">
        <f t="shared" si="169"/>
        <v/>
      </c>
      <c r="GH771" s="1854" t="str">
        <f t="shared" si="170"/>
        <v/>
      </c>
      <c r="GI771" s="1854" t="str">
        <f t="shared" si="171"/>
        <v/>
      </c>
      <c r="GJ771" s="1854" t="str">
        <f t="shared" si="172"/>
        <v/>
      </c>
      <c r="GK771" s="1854" t="str">
        <f t="shared" si="173"/>
        <v/>
      </c>
      <c r="GL771" s="1854" t="str">
        <f t="shared" si="174"/>
        <v/>
      </c>
      <c r="GM771" s="1854" t="str">
        <f t="shared" si="175"/>
        <v/>
      </c>
      <c r="GN771" s="1854" t="str">
        <f t="shared" si="176"/>
        <v/>
      </c>
      <c r="GO771" s="1854" t="str">
        <f t="shared" si="177"/>
        <v/>
      </c>
      <c r="GP771" s="1854" t="str">
        <f t="shared" si="178"/>
        <v/>
      </c>
      <c r="GQ771" s="1854" t="str">
        <f t="shared" si="179"/>
        <v/>
      </c>
      <c r="GR771" s="1854" t="str">
        <f t="shared" si="180"/>
        <v/>
      </c>
      <c r="GS771" s="1854" t="str">
        <f t="shared" si="181"/>
        <v/>
      </c>
      <c r="GT771" s="1854" t="str">
        <f t="shared" si="182"/>
        <v/>
      </c>
      <c r="GU771" s="1854" t="str">
        <f t="shared" si="183"/>
        <v/>
      </c>
      <c r="GV771" s="1854" t="str">
        <f t="shared" si="184"/>
        <v/>
      </c>
      <c r="GW771" s="1854" t="str">
        <f t="shared" si="185"/>
        <v/>
      </c>
      <c r="GX771" s="1854" t="str">
        <f t="shared" si="186"/>
        <v/>
      </c>
      <c r="GY771" s="1854" t="str">
        <f t="shared" si="187"/>
        <v/>
      </c>
      <c r="GZ771" s="1854" t="str">
        <f t="shared" si="188"/>
        <v/>
      </c>
      <c r="HA771" s="1854" t="str">
        <f t="shared" si="189"/>
        <v/>
      </c>
      <c r="HB771" s="1854" t="str">
        <f t="shared" si="190"/>
        <v/>
      </c>
      <c r="HC771" s="1854" t="str">
        <f t="shared" si="191"/>
        <v/>
      </c>
      <c r="HD771" s="1854" t="str">
        <f t="shared" si="192"/>
        <v/>
      </c>
      <c r="HE771" s="1854" t="str">
        <f t="shared" si="193"/>
        <v/>
      </c>
      <c r="HF771" s="1854" t="str">
        <f t="shared" si="194"/>
        <v/>
      </c>
      <c r="HG771" s="1854" t="str">
        <f t="shared" si="195"/>
        <v/>
      </c>
      <c r="HH771" s="1854" t="str">
        <f t="shared" si="196"/>
        <v/>
      </c>
      <c r="HI771" s="1854" t="str">
        <f t="shared" si="197"/>
        <v/>
      </c>
      <c r="HJ771" s="1854" t="str">
        <f t="shared" si="198"/>
        <v/>
      </c>
      <c r="HK771" s="1854" t="str">
        <f t="shared" si="199"/>
        <v/>
      </c>
      <c r="HL771" s="1854" t="str">
        <f t="shared" si="200"/>
        <v/>
      </c>
      <c r="HM771" s="1854" t="str">
        <f t="shared" si="201"/>
        <v/>
      </c>
      <c r="HN771" s="1854" t="str">
        <f t="shared" si="202"/>
        <v/>
      </c>
      <c r="HO771" s="1854" t="str">
        <f t="shared" si="203"/>
        <v/>
      </c>
      <c r="HP771" s="1854" t="str">
        <f t="shared" si="204"/>
        <v/>
      </c>
      <c r="HQ771" s="1854" t="str">
        <f t="shared" si="205"/>
        <v/>
      </c>
      <c r="HR771" s="1854" t="str">
        <f t="shared" si="206"/>
        <v/>
      </c>
      <c r="HS771" s="1854" t="str">
        <f t="shared" si="207"/>
        <v/>
      </c>
      <c r="HT771" s="1854">
        <f t="shared" si="208"/>
        <v>7</v>
      </c>
      <c r="HU771" s="1854" t="str">
        <f t="shared" si="209"/>
        <v/>
      </c>
      <c r="HV771" s="1854" t="str">
        <f t="shared" si="210"/>
        <v/>
      </c>
      <c r="HW771" s="1854" t="str">
        <f t="shared" si="211"/>
        <v/>
      </c>
      <c r="HX771" s="1854" t="str">
        <f t="shared" si="212"/>
        <v/>
      </c>
      <c r="HY771" s="1854" t="str">
        <f t="shared" si="213"/>
        <v/>
      </c>
      <c r="HZ771" s="1854" t="str">
        <f t="shared" si="214"/>
        <v/>
      </c>
      <c r="IA771" s="1854" t="str">
        <f t="shared" si="215"/>
        <v/>
      </c>
      <c r="IB771" s="1854" t="str">
        <f t="shared" si="216"/>
        <v/>
      </c>
      <c r="IC771" s="1854" t="str">
        <f t="shared" si="217"/>
        <v/>
      </c>
      <c r="ID771" s="1826" t="str">
        <f t="shared" si="218"/>
        <v/>
      </c>
      <c r="IE771" s="1826" t="str">
        <f t="shared" si="219"/>
        <v/>
      </c>
      <c r="IF771" s="1826" t="str">
        <f t="shared" si="220"/>
        <v/>
      </c>
      <c r="IG771" s="1826" t="str">
        <f t="shared" si="221"/>
        <v/>
      </c>
      <c r="IH771" s="1826"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1824">
        <f t="shared" si="243"/>
        <v>7</v>
      </c>
      <c r="JD771" s="1824">
        <f t="shared" si="244"/>
        <v>0</v>
      </c>
      <c r="JE771" s="1824">
        <f t="shared" si="245"/>
        <v>0</v>
      </c>
      <c r="JF771" s="1824">
        <f t="shared" si="246"/>
        <v>0</v>
      </c>
      <c r="JG771" s="1824">
        <f t="shared" si="247"/>
        <v>0</v>
      </c>
      <c r="JH771" s="1824">
        <f t="shared" si="248"/>
        <v>0</v>
      </c>
      <c r="JI771" s="1824">
        <f t="shared" si="249"/>
        <v>0</v>
      </c>
      <c r="JJ771" s="1824">
        <f t="shared" si="250"/>
        <v>0</v>
      </c>
      <c r="JK771" s="1824">
        <f t="shared" si="251"/>
        <v>0</v>
      </c>
      <c r="JL771" s="1824">
        <f t="shared" si="252"/>
        <v>0</v>
      </c>
      <c r="JM771" s="1824">
        <f t="shared" si="253"/>
        <v>0</v>
      </c>
      <c r="JN771" s="1824">
        <f t="shared" si="254"/>
        <v>0</v>
      </c>
      <c r="JO771" s="1824">
        <f t="shared" si="255"/>
        <v>0</v>
      </c>
      <c r="JP771" s="1824">
        <f t="shared" si="256"/>
        <v>0</v>
      </c>
      <c r="JQ771" s="1824">
        <f t="shared" si="257"/>
        <v>0</v>
      </c>
    </row>
    <row r="772" spans="1:277" ht="12" customHeight="1">
      <c r="A772" s="1837" t="str">
        <f t="shared" si="0"/>
        <v/>
      </c>
      <c r="B772" s="1846" t="str">
        <f>'Part VI-Revenues &amp; Expenses'!B15</f>
        <v>60% AMI</v>
      </c>
      <c r="C772" s="1847">
        <f>'Part VI-Revenues &amp; Expenses'!C15</f>
        <v>1</v>
      </c>
      <c r="D772" s="1848">
        <f>'Part VI-Revenues &amp; Expenses'!D15</f>
        <v>1</v>
      </c>
      <c r="E772" s="1849">
        <f>'Part VI-Revenues &amp; Expenses'!E15</f>
        <v>22</v>
      </c>
      <c r="F772" s="1849">
        <f>'Part VI-Revenues &amp; Expenses'!F15</f>
        <v>820</v>
      </c>
      <c r="G772" s="1849">
        <f>'Part VI-Revenues &amp; Expenses'!G15</f>
        <v>784</v>
      </c>
      <c r="H772" s="1849">
        <f>'Part VI-Revenues &amp; Expenses'!H15</f>
        <v>784</v>
      </c>
      <c r="I772" s="1849">
        <f>'Part VI-Revenues &amp; Expenses'!I15</f>
        <v>118.25</v>
      </c>
      <c r="J772" s="1850">
        <f>'Part VI-Revenues &amp; Expenses'!J15</f>
        <v>0</v>
      </c>
      <c r="K772" s="1851">
        <f t="shared" si="1"/>
        <v>665.75</v>
      </c>
      <c r="L772" s="1851">
        <f t="shared" si="2"/>
        <v>14646.5</v>
      </c>
      <c r="M772" s="1725" t="str">
        <f>'Part VI-Revenues &amp; Expenses'!M15</f>
        <v>No</v>
      </c>
      <c r="N772" s="1725" t="str">
        <f>'Part VI-Revenues &amp; Expenses'!N15</f>
        <v>3+ Story</v>
      </c>
      <c r="O772" s="1725" t="str">
        <f>'Part VI-Revenues &amp; Expenses'!O15</f>
        <v>Rehabilitation</v>
      </c>
      <c r="P772" s="1831" t="str">
        <f>'Part VI-Revenues &amp; Expenses'!P15</f>
        <v>No</v>
      </c>
      <c r="Q772" s="1852">
        <f>'Part VI-Revenues &amp; Expenses'!Q15</f>
        <v>31360</v>
      </c>
      <c r="R772" s="1853">
        <f>'Part VI-Revenues &amp; Expenses'!R15</f>
        <v>0.59990435198469627</v>
      </c>
      <c r="S772" s="1852">
        <f>'Part VI-Revenues &amp; Expenses'!S15</f>
        <v>0</v>
      </c>
      <c r="T772" s="1853">
        <f>'Part VI-Revenues &amp; Expenses'!T15</f>
        <v>0</v>
      </c>
      <c r="U772" s="1775"/>
      <c r="V772" s="1775"/>
      <c r="W772" s="683" t="str">
        <f t="shared" si="3"/>
        <v/>
      </c>
      <c r="X772" s="683">
        <f t="shared" si="4"/>
        <v>22</v>
      </c>
      <c r="Y772" s="683" t="str">
        <f t="shared" si="5"/>
        <v/>
      </c>
      <c r="Z772" s="683" t="str">
        <f t="shared" si="6"/>
        <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t="str">
        <f t="shared" si="20"/>
        <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f t="shared" si="59"/>
        <v>18040</v>
      </c>
      <c r="CB772" s="683" t="str">
        <f t="shared" si="60"/>
        <v/>
      </c>
      <c r="CC772" s="683" t="str">
        <f t="shared" si="61"/>
        <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t="str">
        <f t="shared" si="75"/>
        <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t="str">
        <f t="shared" si="91"/>
        <v/>
      </c>
      <c r="DH772" s="683" t="str">
        <f t="shared" si="92"/>
        <v/>
      </c>
      <c r="DI772" s="683" t="str">
        <f t="shared" si="93"/>
        <v/>
      </c>
      <c r="DJ772" s="683" t="str">
        <f t="shared" si="94"/>
        <v/>
      </c>
      <c r="DK772" s="683" t="str">
        <f t="shared" si="95"/>
        <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f t="shared" si="119"/>
        <v>22</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1854" t="str">
        <f t="shared" si="133"/>
        <v/>
      </c>
      <c r="EX772" s="1854">
        <f t="shared" si="134"/>
        <v>22</v>
      </c>
      <c r="EY772" s="1854" t="str">
        <f t="shared" si="135"/>
        <v/>
      </c>
      <c r="EZ772" s="1854" t="str">
        <f t="shared" si="136"/>
        <v/>
      </c>
      <c r="FA772" s="1854" t="str">
        <f t="shared" si="137"/>
        <v/>
      </c>
      <c r="FB772" s="1854" t="str">
        <f t="shared" si="138"/>
        <v/>
      </c>
      <c r="FC772" s="1854" t="str">
        <f t="shared" si="139"/>
        <v/>
      </c>
      <c r="FD772" s="1854" t="str">
        <f t="shared" si="140"/>
        <v/>
      </c>
      <c r="FE772" s="1854" t="str">
        <f t="shared" si="141"/>
        <v/>
      </c>
      <c r="FF772" s="1854" t="str">
        <f t="shared" si="142"/>
        <v/>
      </c>
      <c r="FG772" s="1854" t="str">
        <f t="shared" si="143"/>
        <v/>
      </c>
      <c r="FH772" s="1854" t="str">
        <f t="shared" si="144"/>
        <v/>
      </c>
      <c r="FI772" s="1854" t="str">
        <f t="shared" si="145"/>
        <v/>
      </c>
      <c r="FJ772" s="1854" t="str">
        <f t="shared" si="146"/>
        <v/>
      </c>
      <c r="FK772" s="1854" t="str">
        <f t="shared" si="147"/>
        <v/>
      </c>
      <c r="FL772" s="1854" t="str">
        <f t="shared" si="148"/>
        <v/>
      </c>
      <c r="FM772" s="1854" t="str">
        <f t="shared" si="149"/>
        <v/>
      </c>
      <c r="FN772" s="1854" t="str">
        <f t="shared" si="150"/>
        <v/>
      </c>
      <c r="FO772" s="1854" t="str">
        <f t="shared" si="151"/>
        <v/>
      </c>
      <c r="FP772" s="1854" t="str">
        <f t="shared" si="152"/>
        <v/>
      </c>
      <c r="FQ772" s="1854" t="str">
        <f t="shared" si="153"/>
        <v/>
      </c>
      <c r="FR772" s="1854" t="str">
        <f t="shared" si="154"/>
        <v/>
      </c>
      <c r="FS772" s="1854" t="str">
        <f t="shared" si="155"/>
        <v/>
      </c>
      <c r="FT772" s="1854" t="str">
        <f t="shared" si="156"/>
        <v/>
      </c>
      <c r="FU772" s="1854" t="str">
        <f t="shared" si="157"/>
        <v/>
      </c>
      <c r="FV772" s="1854" t="str">
        <f t="shared" si="158"/>
        <v/>
      </c>
      <c r="FW772" s="1854" t="str">
        <f t="shared" si="159"/>
        <v/>
      </c>
      <c r="FX772" s="1854" t="str">
        <f t="shared" si="160"/>
        <v/>
      </c>
      <c r="FY772" s="1854" t="str">
        <f t="shared" si="161"/>
        <v/>
      </c>
      <c r="FZ772" s="1854" t="str">
        <f t="shared" si="162"/>
        <v/>
      </c>
      <c r="GA772" s="1854" t="str">
        <f t="shared" si="163"/>
        <v/>
      </c>
      <c r="GB772" s="1854" t="str">
        <f t="shared" si="164"/>
        <v/>
      </c>
      <c r="GC772" s="1854" t="str">
        <f t="shared" si="165"/>
        <v/>
      </c>
      <c r="GD772" s="1854" t="str">
        <f t="shared" si="166"/>
        <v/>
      </c>
      <c r="GE772" s="1854" t="str">
        <f t="shared" si="167"/>
        <v/>
      </c>
      <c r="GF772" s="1854" t="str">
        <f t="shared" si="168"/>
        <v/>
      </c>
      <c r="GG772" s="1854" t="str">
        <f t="shared" si="169"/>
        <v/>
      </c>
      <c r="GH772" s="1854" t="str">
        <f t="shared" si="170"/>
        <v/>
      </c>
      <c r="GI772" s="1854" t="str">
        <f t="shared" si="171"/>
        <v/>
      </c>
      <c r="GJ772" s="1854" t="str">
        <f t="shared" si="172"/>
        <v/>
      </c>
      <c r="GK772" s="1854" t="str">
        <f t="shared" si="173"/>
        <v/>
      </c>
      <c r="GL772" s="1854" t="str">
        <f t="shared" si="174"/>
        <v/>
      </c>
      <c r="GM772" s="1854" t="str">
        <f t="shared" si="175"/>
        <v/>
      </c>
      <c r="GN772" s="1854" t="str">
        <f t="shared" si="176"/>
        <v/>
      </c>
      <c r="GO772" s="1854" t="str">
        <f t="shared" si="177"/>
        <v/>
      </c>
      <c r="GP772" s="1854" t="str">
        <f t="shared" si="178"/>
        <v/>
      </c>
      <c r="GQ772" s="1854" t="str">
        <f t="shared" si="179"/>
        <v/>
      </c>
      <c r="GR772" s="1854" t="str">
        <f t="shared" si="180"/>
        <v/>
      </c>
      <c r="GS772" s="1854" t="str">
        <f t="shared" si="181"/>
        <v/>
      </c>
      <c r="GT772" s="1854" t="str">
        <f t="shared" si="182"/>
        <v/>
      </c>
      <c r="GU772" s="1854" t="str">
        <f t="shared" si="183"/>
        <v/>
      </c>
      <c r="GV772" s="1854" t="str">
        <f t="shared" si="184"/>
        <v/>
      </c>
      <c r="GW772" s="1854" t="str">
        <f t="shared" si="185"/>
        <v/>
      </c>
      <c r="GX772" s="1854" t="str">
        <f t="shared" si="186"/>
        <v/>
      </c>
      <c r="GY772" s="1854" t="str">
        <f t="shared" si="187"/>
        <v/>
      </c>
      <c r="GZ772" s="1854" t="str">
        <f t="shared" si="188"/>
        <v/>
      </c>
      <c r="HA772" s="1854" t="str">
        <f t="shared" si="189"/>
        <v/>
      </c>
      <c r="HB772" s="1854" t="str">
        <f t="shared" si="190"/>
        <v/>
      </c>
      <c r="HC772" s="1854" t="str">
        <f t="shared" si="191"/>
        <v/>
      </c>
      <c r="HD772" s="1854" t="str">
        <f t="shared" si="192"/>
        <v/>
      </c>
      <c r="HE772" s="1854" t="str">
        <f t="shared" si="193"/>
        <v/>
      </c>
      <c r="HF772" s="1854" t="str">
        <f t="shared" si="194"/>
        <v/>
      </c>
      <c r="HG772" s="1854" t="str">
        <f t="shared" si="195"/>
        <v/>
      </c>
      <c r="HH772" s="1854" t="str">
        <f t="shared" si="196"/>
        <v/>
      </c>
      <c r="HI772" s="1854" t="str">
        <f t="shared" si="197"/>
        <v/>
      </c>
      <c r="HJ772" s="1854" t="str">
        <f t="shared" si="198"/>
        <v/>
      </c>
      <c r="HK772" s="1854" t="str">
        <f t="shared" si="199"/>
        <v/>
      </c>
      <c r="HL772" s="1854" t="str">
        <f t="shared" si="200"/>
        <v/>
      </c>
      <c r="HM772" s="1854" t="str">
        <f t="shared" si="201"/>
        <v/>
      </c>
      <c r="HN772" s="1854" t="str">
        <f t="shared" si="202"/>
        <v/>
      </c>
      <c r="HO772" s="1854" t="str">
        <f t="shared" si="203"/>
        <v/>
      </c>
      <c r="HP772" s="1854" t="str">
        <f t="shared" si="204"/>
        <v/>
      </c>
      <c r="HQ772" s="1854" t="str">
        <f t="shared" si="205"/>
        <v/>
      </c>
      <c r="HR772" s="1854" t="str">
        <f t="shared" si="206"/>
        <v/>
      </c>
      <c r="HS772" s="1854" t="str">
        <f t="shared" si="207"/>
        <v/>
      </c>
      <c r="HT772" s="1854" t="str">
        <f t="shared" si="208"/>
        <v/>
      </c>
      <c r="HU772" s="1854">
        <f t="shared" si="209"/>
        <v>22</v>
      </c>
      <c r="HV772" s="1854" t="str">
        <f t="shared" si="210"/>
        <v/>
      </c>
      <c r="HW772" s="1854" t="str">
        <f t="shared" si="211"/>
        <v/>
      </c>
      <c r="HX772" s="1854" t="str">
        <f t="shared" si="212"/>
        <v/>
      </c>
      <c r="HY772" s="1854" t="str">
        <f t="shared" si="213"/>
        <v/>
      </c>
      <c r="HZ772" s="1854" t="str">
        <f t="shared" si="214"/>
        <v/>
      </c>
      <c r="IA772" s="1854" t="str">
        <f t="shared" si="215"/>
        <v/>
      </c>
      <c r="IB772" s="1854" t="str">
        <f t="shared" si="216"/>
        <v/>
      </c>
      <c r="IC772" s="1854" t="str">
        <f t="shared" si="217"/>
        <v/>
      </c>
      <c r="ID772" s="1826" t="str">
        <f t="shared" si="218"/>
        <v/>
      </c>
      <c r="IE772" s="1826" t="str">
        <f t="shared" si="219"/>
        <v/>
      </c>
      <c r="IF772" s="1826" t="str">
        <f t="shared" si="220"/>
        <v/>
      </c>
      <c r="IG772" s="1826" t="str">
        <f t="shared" si="221"/>
        <v/>
      </c>
      <c r="IH772" s="1826"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1824">
        <f t="shared" si="243"/>
        <v>0</v>
      </c>
      <c r="JD772" s="1824">
        <f t="shared" si="244"/>
        <v>22</v>
      </c>
      <c r="JE772" s="1824">
        <f t="shared" si="245"/>
        <v>0</v>
      </c>
      <c r="JF772" s="1824">
        <f t="shared" si="246"/>
        <v>0</v>
      </c>
      <c r="JG772" s="1824">
        <f t="shared" si="247"/>
        <v>0</v>
      </c>
      <c r="JH772" s="1824">
        <f t="shared" si="248"/>
        <v>0</v>
      </c>
      <c r="JI772" s="1824">
        <f t="shared" si="249"/>
        <v>0</v>
      </c>
      <c r="JJ772" s="1824">
        <f t="shared" si="250"/>
        <v>0</v>
      </c>
      <c r="JK772" s="1824">
        <f t="shared" si="251"/>
        <v>0</v>
      </c>
      <c r="JL772" s="1824">
        <f t="shared" si="252"/>
        <v>0</v>
      </c>
      <c r="JM772" s="1824">
        <f t="shared" si="253"/>
        <v>0</v>
      </c>
      <c r="JN772" s="1824">
        <f t="shared" si="254"/>
        <v>0</v>
      </c>
      <c r="JO772" s="1824">
        <f t="shared" si="255"/>
        <v>0</v>
      </c>
      <c r="JP772" s="1824">
        <f t="shared" si="256"/>
        <v>0</v>
      </c>
      <c r="JQ772" s="1824">
        <f t="shared" si="257"/>
        <v>0</v>
      </c>
    </row>
    <row r="773" spans="1:277" ht="12" customHeight="1">
      <c r="A773" s="1837" t="str">
        <f t="shared" si="0"/>
        <v/>
      </c>
      <c r="B773" s="1846">
        <f>'Part VI-Revenues &amp; Expenses'!B16</f>
        <v>0</v>
      </c>
      <c r="C773" s="1847">
        <f>'Part VI-Revenues &amp; Expenses'!C16</f>
        <v>0</v>
      </c>
      <c r="D773" s="1848">
        <f>'Part VI-Revenues &amp; Expenses'!D16</f>
        <v>0</v>
      </c>
      <c r="E773" s="1849">
        <f>'Part VI-Revenues &amp; Expenses'!E16</f>
        <v>0</v>
      </c>
      <c r="F773" s="1849">
        <f>'Part VI-Revenues &amp; Expenses'!F16</f>
        <v>0</v>
      </c>
      <c r="G773" s="1849">
        <f>'Part VI-Revenues &amp; Expenses'!G16</f>
        <v>0</v>
      </c>
      <c r="H773" s="1849">
        <f>'Part VI-Revenues &amp; Expenses'!H16</f>
        <v>0</v>
      </c>
      <c r="I773" s="1849">
        <f>'Part VI-Revenues &amp; Expenses'!I16</f>
        <v>0</v>
      </c>
      <c r="J773" s="1850">
        <f>'Part VI-Revenues &amp; Expenses'!J16</f>
        <v>0</v>
      </c>
      <c r="K773" s="1851">
        <f t="shared" si="1"/>
        <v>0</v>
      </c>
      <c r="L773" s="1851">
        <f t="shared" si="2"/>
        <v>0</v>
      </c>
      <c r="M773" s="1725">
        <f>'Part VI-Revenues &amp; Expenses'!M16</f>
        <v>0</v>
      </c>
      <c r="N773" s="1725">
        <f>'Part VI-Revenues &amp; Expenses'!N16</f>
        <v>0</v>
      </c>
      <c r="O773" s="1725">
        <f>'Part VI-Revenues &amp; Expenses'!O16</f>
        <v>0</v>
      </c>
      <c r="P773" s="1831">
        <f>'Part VI-Revenues &amp; Expenses'!P16</f>
        <v>0</v>
      </c>
      <c r="Q773" s="1852" t="str">
        <f>'Part VI-Revenues &amp; Expenses'!Q16</f>
        <v/>
      </c>
      <c r="R773" s="1853" t="str">
        <f>'Part VI-Revenues &amp; Expenses'!R16</f>
        <v/>
      </c>
      <c r="S773" s="1852">
        <f>'Part VI-Revenues &amp; Expenses'!S16</f>
        <v>0</v>
      </c>
      <c r="T773" s="1853">
        <f>'Part VI-Revenues &amp; Expenses'!T16</f>
        <v>0</v>
      </c>
      <c r="U773" s="1775"/>
      <c r="V773" s="1775"/>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1854" t="str">
        <f t="shared" si="133"/>
        <v/>
      </c>
      <c r="EX773" s="1854" t="str">
        <f t="shared" si="134"/>
        <v/>
      </c>
      <c r="EY773" s="1854" t="str">
        <f t="shared" si="135"/>
        <v/>
      </c>
      <c r="EZ773" s="1854" t="str">
        <f t="shared" si="136"/>
        <v/>
      </c>
      <c r="FA773" s="1854" t="str">
        <f t="shared" si="137"/>
        <v/>
      </c>
      <c r="FB773" s="1854" t="str">
        <f t="shared" si="138"/>
        <v/>
      </c>
      <c r="FC773" s="1854" t="str">
        <f t="shared" si="139"/>
        <v/>
      </c>
      <c r="FD773" s="1854" t="str">
        <f t="shared" si="140"/>
        <v/>
      </c>
      <c r="FE773" s="1854" t="str">
        <f t="shared" si="141"/>
        <v/>
      </c>
      <c r="FF773" s="1854" t="str">
        <f t="shared" si="142"/>
        <v/>
      </c>
      <c r="FG773" s="1854" t="str">
        <f t="shared" si="143"/>
        <v/>
      </c>
      <c r="FH773" s="1854" t="str">
        <f t="shared" si="144"/>
        <v/>
      </c>
      <c r="FI773" s="1854" t="str">
        <f t="shared" si="145"/>
        <v/>
      </c>
      <c r="FJ773" s="1854" t="str">
        <f t="shared" si="146"/>
        <v/>
      </c>
      <c r="FK773" s="1854" t="str">
        <f t="shared" si="147"/>
        <v/>
      </c>
      <c r="FL773" s="1854" t="str">
        <f t="shared" si="148"/>
        <v/>
      </c>
      <c r="FM773" s="1854" t="str">
        <f t="shared" si="149"/>
        <v/>
      </c>
      <c r="FN773" s="1854" t="str">
        <f t="shared" si="150"/>
        <v/>
      </c>
      <c r="FO773" s="1854" t="str">
        <f t="shared" si="151"/>
        <v/>
      </c>
      <c r="FP773" s="1854" t="str">
        <f t="shared" si="152"/>
        <v/>
      </c>
      <c r="FQ773" s="1854" t="str">
        <f t="shared" si="153"/>
        <v/>
      </c>
      <c r="FR773" s="1854" t="str">
        <f t="shared" si="154"/>
        <v/>
      </c>
      <c r="FS773" s="1854" t="str">
        <f t="shared" si="155"/>
        <v/>
      </c>
      <c r="FT773" s="1854" t="str">
        <f t="shared" si="156"/>
        <v/>
      </c>
      <c r="FU773" s="1854" t="str">
        <f t="shared" si="157"/>
        <v/>
      </c>
      <c r="FV773" s="1854" t="str">
        <f t="shared" si="158"/>
        <v/>
      </c>
      <c r="FW773" s="1854" t="str">
        <f t="shared" si="159"/>
        <v/>
      </c>
      <c r="FX773" s="1854" t="str">
        <f t="shared" si="160"/>
        <v/>
      </c>
      <c r="FY773" s="1854" t="str">
        <f t="shared" si="161"/>
        <v/>
      </c>
      <c r="FZ773" s="1854" t="str">
        <f t="shared" si="162"/>
        <v/>
      </c>
      <c r="GA773" s="1854" t="str">
        <f t="shared" si="163"/>
        <v/>
      </c>
      <c r="GB773" s="1854" t="str">
        <f t="shared" si="164"/>
        <v/>
      </c>
      <c r="GC773" s="1854" t="str">
        <f t="shared" si="165"/>
        <v/>
      </c>
      <c r="GD773" s="1854" t="str">
        <f t="shared" si="166"/>
        <v/>
      </c>
      <c r="GE773" s="1854" t="str">
        <f t="shared" si="167"/>
        <v/>
      </c>
      <c r="GF773" s="1854" t="str">
        <f t="shared" si="168"/>
        <v/>
      </c>
      <c r="GG773" s="1854" t="str">
        <f t="shared" si="169"/>
        <v/>
      </c>
      <c r="GH773" s="1854" t="str">
        <f t="shared" si="170"/>
        <v/>
      </c>
      <c r="GI773" s="1854" t="str">
        <f t="shared" si="171"/>
        <v/>
      </c>
      <c r="GJ773" s="1854" t="str">
        <f t="shared" si="172"/>
        <v/>
      </c>
      <c r="GK773" s="1854" t="str">
        <f t="shared" si="173"/>
        <v/>
      </c>
      <c r="GL773" s="1854" t="str">
        <f t="shared" si="174"/>
        <v/>
      </c>
      <c r="GM773" s="1854" t="str">
        <f t="shared" si="175"/>
        <v/>
      </c>
      <c r="GN773" s="1854" t="str">
        <f t="shared" si="176"/>
        <v/>
      </c>
      <c r="GO773" s="1854" t="str">
        <f t="shared" si="177"/>
        <v/>
      </c>
      <c r="GP773" s="1854" t="str">
        <f t="shared" si="178"/>
        <v/>
      </c>
      <c r="GQ773" s="1854" t="str">
        <f t="shared" si="179"/>
        <v/>
      </c>
      <c r="GR773" s="1854" t="str">
        <f t="shared" si="180"/>
        <v/>
      </c>
      <c r="GS773" s="1854" t="str">
        <f t="shared" si="181"/>
        <v/>
      </c>
      <c r="GT773" s="1854" t="str">
        <f t="shared" si="182"/>
        <v/>
      </c>
      <c r="GU773" s="1854" t="str">
        <f t="shared" si="183"/>
        <v/>
      </c>
      <c r="GV773" s="1854" t="str">
        <f t="shared" si="184"/>
        <v/>
      </c>
      <c r="GW773" s="1854" t="str">
        <f t="shared" si="185"/>
        <v/>
      </c>
      <c r="GX773" s="1854" t="str">
        <f t="shared" si="186"/>
        <v/>
      </c>
      <c r="GY773" s="1854" t="str">
        <f t="shared" si="187"/>
        <v/>
      </c>
      <c r="GZ773" s="1854" t="str">
        <f t="shared" si="188"/>
        <v/>
      </c>
      <c r="HA773" s="1854" t="str">
        <f t="shared" si="189"/>
        <v/>
      </c>
      <c r="HB773" s="1854" t="str">
        <f t="shared" si="190"/>
        <v/>
      </c>
      <c r="HC773" s="1854" t="str">
        <f t="shared" si="191"/>
        <v/>
      </c>
      <c r="HD773" s="1854" t="str">
        <f t="shared" si="192"/>
        <v/>
      </c>
      <c r="HE773" s="1854" t="str">
        <f t="shared" si="193"/>
        <v/>
      </c>
      <c r="HF773" s="1854" t="str">
        <f t="shared" si="194"/>
        <v/>
      </c>
      <c r="HG773" s="1854" t="str">
        <f t="shared" si="195"/>
        <v/>
      </c>
      <c r="HH773" s="1854" t="str">
        <f t="shared" si="196"/>
        <v/>
      </c>
      <c r="HI773" s="1854" t="str">
        <f t="shared" si="197"/>
        <v/>
      </c>
      <c r="HJ773" s="1854" t="str">
        <f t="shared" si="198"/>
        <v/>
      </c>
      <c r="HK773" s="1854" t="str">
        <f t="shared" si="199"/>
        <v/>
      </c>
      <c r="HL773" s="1854" t="str">
        <f t="shared" si="200"/>
        <v/>
      </c>
      <c r="HM773" s="1854" t="str">
        <f t="shared" si="201"/>
        <v/>
      </c>
      <c r="HN773" s="1854" t="str">
        <f t="shared" si="202"/>
        <v/>
      </c>
      <c r="HO773" s="1854" t="str">
        <f t="shared" si="203"/>
        <v/>
      </c>
      <c r="HP773" s="1854" t="str">
        <f t="shared" si="204"/>
        <v/>
      </c>
      <c r="HQ773" s="1854" t="str">
        <f t="shared" si="205"/>
        <v/>
      </c>
      <c r="HR773" s="1854" t="str">
        <f t="shared" si="206"/>
        <v/>
      </c>
      <c r="HS773" s="1854" t="str">
        <f t="shared" si="207"/>
        <v/>
      </c>
      <c r="HT773" s="1854" t="str">
        <f t="shared" si="208"/>
        <v/>
      </c>
      <c r="HU773" s="1854" t="str">
        <f t="shared" si="209"/>
        <v/>
      </c>
      <c r="HV773" s="1854" t="str">
        <f t="shared" si="210"/>
        <v/>
      </c>
      <c r="HW773" s="1854" t="str">
        <f t="shared" si="211"/>
        <v/>
      </c>
      <c r="HX773" s="1854" t="str">
        <f t="shared" si="212"/>
        <v/>
      </c>
      <c r="HY773" s="1854" t="str">
        <f t="shared" si="213"/>
        <v/>
      </c>
      <c r="HZ773" s="1854" t="str">
        <f t="shared" si="214"/>
        <v/>
      </c>
      <c r="IA773" s="1854" t="str">
        <f t="shared" si="215"/>
        <v/>
      </c>
      <c r="IB773" s="1854" t="str">
        <f t="shared" si="216"/>
        <v/>
      </c>
      <c r="IC773" s="1854" t="str">
        <f t="shared" si="217"/>
        <v/>
      </c>
      <c r="ID773" s="1826" t="str">
        <f t="shared" si="218"/>
        <v/>
      </c>
      <c r="IE773" s="1826" t="str">
        <f t="shared" si="219"/>
        <v/>
      </c>
      <c r="IF773" s="1826" t="str">
        <f t="shared" si="220"/>
        <v/>
      </c>
      <c r="IG773" s="1826" t="str">
        <f t="shared" si="221"/>
        <v/>
      </c>
      <c r="IH773" s="1826"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1824">
        <f t="shared" si="243"/>
        <v>0</v>
      </c>
      <c r="JD773" s="1824">
        <f t="shared" si="244"/>
        <v>0</v>
      </c>
      <c r="JE773" s="1824">
        <f t="shared" si="245"/>
        <v>0</v>
      </c>
      <c r="JF773" s="1824">
        <f t="shared" si="246"/>
        <v>0</v>
      </c>
      <c r="JG773" s="1824">
        <f t="shared" si="247"/>
        <v>0</v>
      </c>
      <c r="JH773" s="1824">
        <f t="shared" si="248"/>
        <v>0</v>
      </c>
      <c r="JI773" s="1824">
        <f t="shared" si="249"/>
        <v>0</v>
      </c>
      <c r="JJ773" s="1824">
        <f t="shared" si="250"/>
        <v>0</v>
      </c>
      <c r="JK773" s="1824">
        <f t="shared" si="251"/>
        <v>0</v>
      </c>
      <c r="JL773" s="1824">
        <f t="shared" si="252"/>
        <v>0</v>
      </c>
      <c r="JM773" s="1824">
        <f t="shared" si="253"/>
        <v>0</v>
      </c>
      <c r="JN773" s="1824">
        <f t="shared" si="254"/>
        <v>0</v>
      </c>
      <c r="JO773" s="1824">
        <f t="shared" si="255"/>
        <v>0</v>
      </c>
      <c r="JP773" s="1824">
        <f t="shared" si="256"/>
        <v>0</v>
      </c>
      <c r="JQ773" s="1824">
        <f t="shared" si="257"/>
        <v>0</v>
      </c>
    </row>
    <row r="774" spans="1:277" ht="12" customHeight="1">
      <c r="A774" s="1837" t="str">
        <f t="shared" si="0"/>
        <v/>
      </c>
      <c r="B774" s="1846">
        <f>'Part VI-Revenues &amp; Expenses'!B17</f>
        <v>0</v>
      </c>
      <c r="C774" s="1847">
        <f>'Part VI-Revenues &amp; Expenses'!C17</f>
        <v>0</v>
      </c>
      <c r="D774" s="1848">
        <f>'Part VI-Revenues &amp; Expenses'!D17</f>
        <v>0</v>
      </c>
      <c r="E774" s="1849">
        <f>'Part VI-Revenues &amp; Expenses'!E17</f>
        <v>0</v>
      </c>
      <c r="F774" s="1849">
        <f>'Part VI-Revenues &amp; Expenses'!F17</f>
        <v>0</v>
      </c>
      <c r="G774" s="1849">
        <f>'Part VI-Revenues &amp; Expenses'!G17</f>
        <v>0</v>
      </c>
      <c r="H774" s="1849">
        <f>'Part VI-Revenues &amp; Expenses'!H17</f>
        <v>0</v>
      </c>
      <c r="I774" s="1849">
        <f>'Part VI-Revenues &amp; Expenses'!I17</f>
        <v>0</v>
      </c>
      <c r="J774" s="1850">
        <f>'Part VI-Revenues &amp; Expenses'!J17</f>
        <v>0</v>
      </c>
      <c r="K774" s="1851">
        <f t="shared" si="1"/>
        <v>0</v>
      </c>
      <c r="L774" s="1851">
        <f t="shared" si="2"/>
        <v>0</v>
      </c>
      <c r="M774" s="1725">
        <f>'Part VI-Revenues &amp; Expenses'!M17</f>
        <v>0</v>
      </c>
      <c r="N774" s="1725">
        <f>'Part VI-Revenues &amp; Expenses'!N17</f>
        <v>0</v>
      </c>
      <c r="O774" s="1725">
        <f>'Part VI-Revenues &amp; Expenses'!O17</f>
        <v>0</v>
      </c>
      <c r="P774" s="1831">
        <f>'Part VI-Revenues &amp; Expenses'!P17</f>
        <v>0</v>
      </c>
      <c r="Q774" s="1852" t="str">
        <f>'Part VI-Revenues &amp; Expenses'!Q17</f>
        <v/>
      </c>
      <c r="R774" s="1853" t="str">
        <f>'Part VI-Revenues &amp; Expenses'!R17</f>
        <v/>
      </c>
      <c r="S774" s="1852">
        <f>'Part VI-Revenues &amp; Expenses'!S17</f>
        <v>0</v>
      </c>
      <c r="T774" s="1853">
        <f>'Part VI-Revenues &amp; Expenses'!T17</f>
        <v>0</v>
      </c>
      <c r="U774" s="1775"/>
      <c r="V774" s="1775"/>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1854" t="str">
        <f t="shared" si="133"/>
        <v/>
      </c>
      <c r="EX774" s="1854" t="str">
        <f t="shared" si="134"/>
        <v/>
      </c>
      <c r="EY774" s="1854" t="str">
        <f t="shared" si="135"/>
        <v/>
      </c>
      <c r="EZ774" s="1854" t="str">
        <f t="shared" si="136"/>
        <v/>
      </c>
      <c r="FA774" s="1854" t="str">
        <f t="shared" si="137"/>
        <v/>
      </c>
      <c r="FB774" s="1854" t="str">
        <f t="shared" si="138"/>
        <v/>
      </c>
      <c r="FC774" s="1854" t="str">
        <f t="shared" si="139"/>
        <v/>
      </c>
      <c r="FD774" s="1854" t="str">
        <f t="shared" si="140"/>
        <v/>
      </c>
      <c r="FE774" s="1854" t="str">
        <f t="shared" si="141"/>
        <v/>
      </c>
      <c r="FF774" s="1854" t="str">
        <f t="shared" si="142"/>
        <v/>
      </c>
      <c r="FG774" s="1854" t="str">
        <f t="shared" si="143"/>
        <v/>
      </c>
      <c r="FH774" s="1854" t="str">
        <f t="shared" si="144"/>
        <v/>
      </c>
      <c r="FI774" s="1854" t="str">
        <f t="shared" si="145"/>
        <v/>
      </c>
      <c r="FJ774" s="1854" t="str">
        <f t="shared" si="146"/>
        <v/>
      </c>
      <c r="FK774" s="1854" t="str">
        <f t="shared" si="147"/>
        <v/>
      </c>
      <c r="FL774" s="1854" t="str">
        <f t="shared" si="148"/>
        <v/>
      </c>
      <c r="FM774" s="1854" t="str">
        <f t="shared" si="149"/>
        <v/>
      </c>
      <c r="FN774" s="1854" t="str">
        <f t="shared" si="150"/>
        <v/>
      </c>
      <c r="FO774" s="1854" t="str">
        <f t="shared" si="151"/>
        <v/>
      </c>
      <c r="FP774" s="1854" t="str">
        <f t="shared" si="152"/>
        <v/>
      </c>
      <c r="FQ774" s="1854" t="str">
        <f t="shared" si="153"/>
        <v/>
      </c>
      <c r="FR774" s="1854" t="str">
        <f t="shared" si="154"/>
        <v/>
      </c>
      <c r="FS774" s="1854" t="str">
        <f t="shared" si="155"/>
        <v/>
      </c>
      <c r="FT774" s="1854" t="str">
        <f t="shared" si="156"/>
        <v/>
      </c>
      <c r="FU774" s="1854" t="str">
        <f t="shared" si="157"/>
        <v/>
      </c>
      <c r="FV774" s="1854" t="str">
        <f t="shared" si="158"/>
        <v/>
      </c>
      <c r="FW774" s="1854" t="str">
        <f t="shared" si="159"/>
        <v/>
      </c>
      <c r="FX774" s="1854" t="str">
        <f t="shared" si="160"/>
        <v/>
      </c>
      <c r="FY774" s="1854" t="str">
        <f t="shared" si="161"/>
        <v/>
      </c>
      <c r="FZ774" s="1854" t="str">
        <f t="shared" si="162"/>
        <v/>
      </c>
      <c r="GA774" s="1854" t="str">
        <f t="shared" si="163"/>
        <v/>
      </c>
      <c r="GB774" s="1854" t="str">
        <f t="shared" si="164"/>
        <v/>
      </c>
      <c r="GC774" s="1854" t="str">
        <f t="shared" si="165"/>
        <v/>
      </c>
      <c r="GD774" s="1854" t="str">
        <f t="shared" si="166"/>
        <v/>
      </c>
      <c r="GE774" s="1854" t="str">
        <f t="shared" si="167"/>
        <v/>
      </c>
      <c r="GF774" s="1854" t="str">
        <f t="shared" si="168"/>
        <v/>
      </c>
      <c r="GG774" s="1854" t="str">
        <f t="shared" si="169"/>
        <v/>
      </c>
      <c r="GH774" s="1854" t="str">
        <f t="shared" si="170"/>
        <v/>
      </c>
      <c r="GI774" s="1854" t="str">
        <f t="shared" si="171"/>
        <v/>
      </c>
      <c r="GJ774" s="1854" t="str">
        <f t="shared" si="172"/>
        <v/>
      </c>
      <c r="GK774" s="1854" t="str">
        <f t="shared" si="173"/>
        <v/>
      </c>
      <c r="GL774" s="1854" t="str">
        <f t="shared" si="174"/>
        <v/>
      </c>
      <c r="GM774" s="1854" t="str">
        <f t="shared" si="175"/>
        <v/>
      </c>
      <c r="GN774" s="1854" t="str">
        <f t="shared" si="176"/>
        <v/>
      </c>
      <c r="GO774" s="1854" t="str">
        <f t="shared" si="177"/>
        <v/>
      </c>
      <c r="GP774" s="1854" t="str">
        <f t="shared" si="178"/>
        <v/>
      </c>
      <c r="GQ774" s="1854" t="str">
        <f t="shared" si="179"/>
        <v/>
      </c>
      <c r="GR774" s="1854" t="str">
        <f t="shared" si="180"/>
        <v/>
      </c>
      <c r="GS774" s="1854" t="str">
        <f t="shared" si="181"/>
        <v/>
      </c>
      <c r="GT774" s="1854" t="str">
        <f t="shared" si="182"/>
        <v/>
      </c>
      <c r="GU774" s="1854" t="str">
        <f t="shared" si="183"/>
        <v/>
      </c>
      <c r="GV774" s="1854" t="str">
        <f t="shared" si="184"/>
        <v/>
      </c>
      <c r="GW774" s="1854" t="str">
        <f t="shared" si="185"/>
        <v/>
      </c>
      <c r="GX774" s="1854" t="str">
        <f t="shared" si="186"/>
        <v/>
      </c>
      <c r="GY774" s="1854" t="str">
        <f t="shared" si="187"/>
        <v/>
      </c>
      <c r="GZ774" s="1854" t="str">
        <f t="shared" si="188"/>
        <v/>
      </c>
      <c r="HA774" s="1854" t="str">
        <f t="shared" si="189"/>
        <v/>
      </c>
      <c r="HB774" s="1854" t="str">
        <f t="shared" si="190"/>
        <v/>
      </c>
      <c r="HC774" s="1854" t="str">
        <f t="shared" si="191"/>
        <v/>
      </c>
      <c r="HD774" s="1854" t="str">
        <f t="shared" si="192"/>
        <v/>
      </c>
      <c r="HE774" s="1854" t="str">
        <f t="shared" si="193"/>
        <v/>
      </c>
      <c r="HF774" s="1854" t="str">
        <f t="shared" si="194"/>
        <v/>
      </c>
      <c r="HG774" s="1854" t="str">
        <f t="shared" si="195"/>
        <v/>
      </c>
      <c r="HH774" s="1854" t="str">
        <f t="shared" si="196"/>
        <v/>
      </c>
      <c r="HI774" s="1854" t="str">
        <f t="shared" si="197"/>
        <v/>
      </c>
      <c r="HJ774" s="1854" t="str">
        <f t="shared" si="198"/>
        <v/>
      </c>
      <c r="HK774" s="1854" t="str">
        <f t="shared" si="199"/>
        <v/>
      </c>
      <c r="HL774" s="1854" t="str">
        <f t="shared" si="200"/>
        <v/>
      </c>
      <c r="HM774" s="1854" t="str">
        <f t="shared" si="201"/>
        <v/>
      </c>
      <c r="HN774" s="1854" t="str">
        <f t="shared" si="202"/>
        <v/>
      </c>
      <c r="HO774" s="1854" t="str">
        <f t="shared" si="203"/>
        <v/>
      </c>
      <c r="HP774" s="1854" t="str">
        <f t="shared" si="204"/>
        <v/>
      </c>
      <c r="HQ774" s="1854" t="str">
        <f t="shared" si="205"/>
        <v/>
      </c>
      <c r="HR774" s="1854" t="str">
        <f t="shared" si="206"/>
        <v/>
      </c>
      <c r="HS774" s="1854" t="str">
        <f t="shared" si="207"/>
        <v/>
      </c>
      <c r="HT774" s="1854" t="str">
        <f t="shared" si="208"/>
        <v/>
      </c>
      <c r="HU774" s="1854" t="str">
        <f t="shared" si="209"/>
        <v/>
      </c>
      <c r="HV774" s="1854" t="str">
        <f t="shared" si="210"/>
        <v/>
      </c>
      <c r="HW774" s="1854" t="str">
        <f t="shared" si="211"/>
        <v/>
      </c>
      <c r="HX774" s="1854" t="str">
        <f t="shared" si="212"/>
        <v/>
      </c>
      <c r="HY774" s="1854" t="str">
        <f t="shared" si="213"/>
        <v/>
      </c>
      <c r="HZ774" s="1854" t="str">
        <f t="shared" si="214"/>
        <v/>
      </c>
      <c r="IA774" s="1854" t="str">
        <f t="shared" si="215"/>
        <v/>
      </c>
      <c r="IB774" s="1854" t="str">
        <f t="shared" si="216"/>
        <v/>
      </c>
      <c r="IC774" s="1854" t="str">
        <f t="shared" si="217"/>
        <v/>
      </c>
      <c r="ID774" s="1826" t="str">
        <f t="shared" si="218"/>
        <v/>
      </c>
      <c r="IE774" s="1826" t="str">
        <f t="shared" si="219"/>
        <v/>
      </c>
      <c r="IF774" s="1826" t="str">
        <f t="shared" si="220"/>
        <v/>
      </c>
      <c r="IG774" s="1826" t="str">
        <f t="shared" si="221"/>
        <v/>
      </c>
      <c r="IH774" s="1826"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1824">
        <f t="shared" si="243"/>
        <v>0</v>
      </c>
      <c r="JD774" s="1824">
        <f t="shared" si="244"/>
        <v>0</v>
      </c>
      <c r="JE774" s="1824">
        <f t="shared" si="245"/>
        <v>0</v>
      </c>
      <c r="JF774" s="1824">
        <f t="shared" si="246"/>
        <v>0</v>
      </c>
      <c r="JG774" s="1824">
        <f t="shared" si="247"/>
        <v>0</v>
      </c>
      <c r="JH774" s="1824">
        <f t="shared" si="248"/>
        <v>0</v>
      </c>
      <c r="JI774" s="1824">
        <f t="shared" si="249"/>
        <v>0</v>
      </c>
      <c r="JJ774" s="1824">
        <f t="shared" si="250"/>
        <v>0</v>
      </c>
      <c r="JK774" s="1824">
        <f t="shared" si="251"/>
        <v>0</v>
      </c>
      <c r="JL774" s="1824">
        <f t="shared" si="252"/>
        <v>0</v>
      </c>
      <c r="JM774" s="1824">
        <f t="shared" si="253"/>
        <v>0</v>
      </c>
      <c r="JN774" s="1824">
        <f t="shared" si="254"/>
        <v>0</v>
      </c>
      <c r="JO774" s="1824">
        <f t="shared" si="255"/>
        <v>0</v>
      </c>
      <c r="JP774" s="1824">
        <f t="shared" si="256"/>
        <v>0</v>
      </c>
      <c r="JQ774" s="1824">
        <f t="shared" si="257"/>
        <v>0</v>
      </c>
    </row>
    <row r="775" spans="1:277" ht="12" customHeight="1">
      <c r="A775" s="1837" t="str">
        <f t="shared" si="0"/>
        <v/>
      </c>
      <c r="B775" s="1846">
        <f>'Part VI-Revenues &amp; Expenses'!B18</f>
        <v>0</v>
      </c>
      <c r="C775" s="1847">
        <f>'Part VI-Revenues &amp; Expenses'!C18</f>
        <v>0</v>
      </c>
      <c r="D775" s="1848">
        <f>'Part VI-Revenues &amp; Expenses'!D18</f>
        <v>0</v>
      </c>
      <c r="E775" s="1849">
        <f>'Part VI-Revenues &amp; Expenses'!E18</f>
        <v>0</v>
      </c>
      <c r="F775" s="1849">
        <f>'Part VI-Revenues &amp; Expenses'!F18</f>
        <v>0</v>
      </c>
      <c r="G775" s="1849">
        <f>'Part VI-Revenues &amp; Expenses'!G18</f>
        <v>0</v>
      </c>
      <c r="H775" s="1849">
        <f>'Part VI-Revenues &amp; Expenses'!H18</f>
        <v>0</v>
      </c>
      <c r="I775" s="1849">
        <f>'Part VI-Revenues &amp; Expenses'!I18</f>
        <v>0</v>
      </c>
      <c r="J775" s="1850">
        <f>'Part VI-Revenues &amp; Expenses'!J18</f>
        <v>0</v>
      </c>
      <c r="K775" s="1851">
        <f t="shared" si="1"/>
        <v>0</v>
      </c>
      <c r="L775" s="1851">
        <f t="shared" si="2"/>
        <v>0</v>
      </c>
      <c r="M775" s="1725">
        <f>'Part VI-Revenues &amp; Expenses'!M18</f>
        <v>0</v>
      </c>
      <c r="N775" s="1725">
        <f>'Part VI-Revenues &amp; Expenses'!N18</f>
        <v>0</v>
      </c>
      <c r="O775" s="1725">
        <f>'Part VI-Revenues &amp; Expenses'!O18</f>
        <v>0</v>
      </c>
      <c r="P775" s="1831">
        <f>'Part VI-Revenues &amp; Expenses'!P18</f>
        <v>0</v>
      </c>
      <c r="Q775" s="1852" t="str">
        <f>'Part VI-Revenues &amp; Expenses'!Q18</f>
        <v/>
      </c>
      <c r="R775" s="1853" t="str">
        <f>'Part VI-Revenues &amp; Expenses'!R18</f>
        <v/>
      </c>
      <c r="S775" s="1852">
        <f>'Part VI-Revenues &amp; Expenses'!S18</f>
        <v>0</v>
      </c>
      <c r="T775" s="1853">
        <f>'Part VI-Revenues &amp; Expenses'!T18</f>
        <v>0</v>
      </c>
      <c r="U775" s="1775"/>
      <c r="V775" s="1775"/>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1854" t="str">
        <f t="shared" si="133"/>
        <v/>
      </c>
      <c r="EX775" s="1854" t="str">
        <f t="shared" si="134"/>
        <v/>
      </c>
      <c r="EY775" s="1854" t="str">
        <f t="shared" si="135"/>
        <v/>
      </c>
      <c r="EZ775" s="1854" t="str">
        <f t="shared" si="136"/>
        <v/>
      </c>
      <c r="FA775" s="1854" t="str">
        <f t="shared" si="137"/>
        <v/>
      </c>
      <c r="FB775" s="1854" t="str">
        <f t="shared" si="138"/>
        <v/>
      </c>
      <c r="FC775" s="1854" t="str">
        <f t="shared" si="139"/>
        <v/>
      </c>
      <c r="FD775" s="1854" t="str">
        <f t="shared" si="140"/>
        <v/>
      </c>
      <c r="FE775" s="1854" t="str">
        <f t="shared" si="141"/>
        <v/>
      </c>
      <c r="FF775" s="1854" t="str">
        <f t="shared" si="142"/>
        <v/>
      </c>
      <c r="FG775" s="1854" t="str">
        <f t="shared" si="143"/>
        <v/>
      </c>
      <c r="FH775" s="1854" t="str">
        <f t="shared" si="144"/>
        <v/>
      </c>
      <c r="FI775" s="1854" t="str">
        <f t="shared" si="145"/>
        <v/>
      </c>
      <c r="FJ775" s="1854" t="str">
        <f t="shared" si="146"/>
        <v/>
      </c>
      <c r="FK775" s="1854" t="str">
        <f t="shared" si="147"/>
        <v/>
      </c>
      <c r="FL775" s="1854" t="str">
        <f t="shared" si="148"/>
        <v/>
      </c>
      <c r="FM775" s="1854" t="str">
        <f t="shared" si="149"/>
        <v/>
      </c>
      <c r="FN775" s="1854" t="str">
        <f t="shared" si="150"/>
        <v/>
      </c>
      <c r="FO775" s="1854" t="str">
        <f t="shared" si="151"/>
        <v/>
      </c>
      <c r="FP775" s="1854" t="str">
        <f t="shared" si="152"/>
        <v/>
      </c>
      <c r="FQ775" s="1854" t="str">
        <f t="shared" si="153"/>
        <v/>
      </c>
      <c r="FR775" s="1854" t="str">
        <f t="shared" si="154"/>
        <v/>
      </c>
      <c r="FS775" s="1854" t="str">
        <f t="shared" si="155"/>
        <v/>
      </c>
      <c r="FT775" s="1854" t="str">
        <f t="shared" si="156"/>
        <v/>
      </c>
      <c r="FU775" s="1854" t="str">
        <f t="shared" si="157"/>
        <v/>
      </c>
      <c r="FV775" s="1854" t="str">
        <f t="shared" si="158"/>
        <v/>
      </c>
      <c r="FW775" s="1854" t="str">
        <f t="shared" si="159"/>
        <v/>
      </c>
      <c r="FX775" s="1854" t="str">
        <f t="shared" si="160"/>
        <v/>
      </c>
      <c r="FY775" s="1854" t="str">
        <f t="shared" si="161"/>
        <v/>
      </c>
      <c r="FZ775" s="1854" t="str">
        <f t="shared" si="162"/>
        <v/>
      </c>
      <c r="GA775" s="1854" t="str">
        <f t="shared" si="163"/>
        <v/>
      </c>
      <c r="GB775" s="1854" t="str">
        <f t="shared" si="164"/>
        <v/>
      </c>
      <c r="GC775" s="1854" t="str">
        <f t="shared" si="165"/>
        <v/>
      </c>
      <c r="GD775" s="1854" t="str">
        <f t="shared" si="166"/>
        <v/>
      </c>
      <c r="GE775" s="1854" t="str">
        <f t="shared" si="167"/>
        <v/>
      </c>
      <c r="GF775" s="1854" t="str">
        <f t="shared" si="168"/>
        <v/>
      </c>
      <c r="GG775" s="1854" t="str">
        <f t="shared" si="169"/>
        <v/>
      </c>
      <c r="GH775" s="1854" t="str">
        <f t="shared" si="170"/>
        <v/>
      </c>
      <c r="GI775" s="1854" t="str">
        <f t="shared" si="171"/>
        <v/>
      </c>
      <c r="GJ775" s="1854" t="str">
        <f t="shared" si="172"/>
        <v/>
      </c>
      <c r="GK775" s="1854" t="str">
        <f t="shared" si="173"/>
        <v/>
      </c>
      <c r="GL775" s="1854" t="str">
        <f t="shared" si="174"/>
        <v/>
      </c>
      <c r="GM775" s="1854" t="str">
        <f t="shared" si="175"/>
        <v/>
      </c>
      <c r="GN775" s="1854" t="str">
        <f t="shared" si="176"/>
        <v/>
      </c>
      <c r="GO775" s="1854" t="str">
        <f t="shared" si="177"/>
        <v/>
      </c>
      <c r="GP775" s="1854" t="str">
        <f t="shared" si="178"/>
        <v/>
      </c>
      <c r="GQ775" s="1854" t="str">
        <f t="shared" si="179"/>
        <v/>
      </c>
      <c r="GR775" s="1854" t="str">
        <f t="shared" si="180"/>
        <v/>
      </c>
      <c r="GS775" s="1854" t="str">
        <f t="shared" si="181"/>
        <v/>
      </c>
      <c r="GT775" s="1854" t="str">
        <f t="shared" si="182"/>
        <v/>
      </c>
      <c r="GU775" s="1854" t="str">
        <f t="shared" si="183"/>
        <v/>
      </c>
      <c r="GV775" s="1854" t="str">
        <f t="shared" si="184"/>
        <v/>
      </c>
      <c r="GW775" s="1854" t="str">
        <f t="shared" si="185"/>
        <v/>
      </c>
      <c r="GX775" s="1854" t="str">
        <f t="shared" si="186"/>
        <v/>
      </c>
      <c r="GY775" s="1854" t="str">
        <f t="shared" si="187"/>
        <v/>
      </c>
      <c r="GZ775" s="1854" t="str">
        <f t="shared" si="188"/>
        <v/>
      </c>
      <c r="HA775" s="1854" t="str">
        <f t="shared" si="189"/>
        <v/>
      </c>
      <c r="HB775" s="1854" t="str">
        <f t="shared" si="190"/>
        <v/>
      </c>
      <c r="HC775" s="1854" t="str">
        <f t="shared" si="191"/>
        <v/>
      </c>
      <c r="HD775" s="1854" t="str">
        <f t="shared" si="192"/>
        <v/>
      </c>
      <c r="HE775" s="1854" t="str">
        <f t="shared" si="193"/>
        <v/>
      </c>
      <c r="HF775" s="1854" t="str">
        <f t="shared" si="194"/>
        <v/>
      </c>
      <c r="HG775" s="1854" t="str">
        <f t="shared" si="195"/>
        <v/>
      </c>
      <c r="HH775" s="1854" t="str">
        <f t="shared" si="196"/>
        <v/>
      </c>
      <c r="HI775" s="1854" t="str">
        <f t="shared" si="197"/>
        <v/>
      </c>
      <c r="HJ775" s="1854" t="str">
        <f t="shared" si="198"/>
        <v/>
      </c>
      <c r="HK775" s="1854" t="str">
        <f t="shared" si="199"/>
        <v/>
      </c>
      <c r="HL775" s="1854" t="str">
        <f t="shared" si="200"/>
        <v/>
      </c>
      <c r="HM775" s="1854" t="str">
        <f t="shared" si="201"/>
        <v/>
      </c>
      <c r="HN775" s="1854" t="str">
        <f t="shared" si="202"/>
        <v/>
      </c>
      <c r="HO775" s="1854" t="str">
        <f t="shared" si="203"/>
        <v/>
      </c>
      <c r="HP775" s="1854" t="str">
        <f t="shared" si="204"/>
        <v/>
      </c>
      <c r="HQ775" s="1854" t="str">
        <f t="shared" si="205"/>
        <v/>
      </c>
      <c r="HR775" s="1854" t="str">
        <f t="shared" si="206"/>
        <v/>
      </c>
      <c r="HS775" s="1854" t="str">
        <f t="shared" si="207"/>
        <v/>
      </c>
      <c r="HT775" s="1854" t="str">
        <f t="shared" si="208"/>
        <v/>
      </c>
      <c r="HU775" s="1854" t="str">
        <f t="shared" si="209"/>
        <v/>
      </c>
      <c r="HV775" s="1854" t="str">
        <f t="shared" si="210"/>
        <v/>
      </c>
      <c r="HW775" s="1854" t="str">
        <f t="shared" si="211"/>
        <v/>
      </c>
      <c r="HX775" s="1854" t="str">
        <f t="shared" si="212"/>
        <v/>
      </c>
      <c r="HY775" s="1854" t="str">
        <f t="shared" si="213"/>
        <v/>
      </c>
      <c r="HZ775" s="1854" t="str">
        <f t="shared" si="214"/>
        <v/>
      </c>
      <c r="IA775" s="1854" t="str">
        <f t="shared" si="215"/>
        <v/>
      </c>
      <c r="IB775" s="1854" t="str">
        <f t="shared" si="216"/>
        <v/>
      </c>
      <c r="IC775" s="1854" t="str">
        <f t="shared" si="217"/>
        <v/>
      </c>
      <c r="ID775" s="1826" t="str">
        <f t="shared" si="218"/>
        <v/>
      </c>
      <c r="IE775" s="1826" t="str">
        <f t="shared" si="219"/>
        <v/>
      </c>
      <c r="IF775" s="1826" t="str">
        <f t="shared" si="220"/>
        <v/>
      </c>
      <c r="IG775" s="1826" t="str">
        <f t="shared" si="221"/>
        <v/>
      </c>
      <c r="IH775" s="1826"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1824">
        <f t="shared" si="243"/>
        <v>0</v>
      </c>
      <c r="JD775" s="1824">
        <f t="shared" si="244"/>
        <v>0</v>
      </c>
      <c r="JE775" s="1824">
        <f t="shared" si="245"/>
        <v>0</v>
      </c>
      <c r="JF775" s="1824">
        <f t="shared" si="246"/>
        <v>0</v>
      </c>
      <c r="JG775" s="1824">
        <f t="shared" si="247"/>
        <v>0</v>
      </c>
      <c r="JH775" s="1824">
        <f t="shared" si="248"/>
        <v>0</v>
      </c>
      <c r="JI775" s="1824">
        <f t="shared" si="249"/>
        <v>0</v>
      </c>
      <c r="JJ775" s="1824">
        <f t="shared" si="250"/>
        <v>0</v>
      </c>
      <c r="JK775" s="1824">
        <f t="shared" si="251"/>
        <v>0</v>
      </c>
      <c r="JL775" s="1824">
        <f t="shared" si="252"/>
        <v>0</v>
      </c>
      <c r="JM775" s="1824">
        <f t="shared" si="253"/>
        <v>0</v>
      </c>
      <c r="JN775" s="1824">
        <f t="shared" si="254"/>
        <v>0</v>
      </c>
      <c r="JO775" s="1824">
        <f t="shared" si="255"/>
        <v>0</v>
      </c>
      <c r="JP775" s="1824">
        <f t="shared" si="256"/>
        <v>0</v>
      </c>
      <c r="JQ775" s="1824">
        <f t="shared" si="257"/>
        <v>0</v>
      </c>
    </row>
    <row r="776" spans="1:277" ht="12" customHeight="1">
      <c r="A776" s="1837" t="str">
        <f t="shared" si="0"/>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1"/>
        <v>0</v>
      </c>
      <c r="L776" s="1851">
        <f t="shared" si="2"/>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1854" t="str">
        <f t="shared" si="133"/>
        <v/>
      </c>
      <c r="EX776" s="1854" t="str">
        <f t="shared" si="134"/>
        <v/>
      </c>
      <c r="EY776" s="1854" t="str">
        <f t="shared" si="135"/>
        <v/>
      </c>
      <c r="EZ776" s="1854" t="str">
        <f t="shared" si="136"/>
        <v/>
      </c>
      <c r="FA776" s="1854" t="str">
        <f t="shared" si="137"/>
        <v/>
      </c>
      <c r="FB776" s="1854" t="str">
        <f t="shared" si="138"/>
        <v/>
      </c>
      <c r="FC776" s="1854" t="str">
        <f t="shared" si="139"/>
        <v/>
      </c>
      <c r="FD776" s="1854" t="str">
        <f t="shared" si="140"/>
        <v/>
      </c>
      <c r="FE776" s="1854" t="str">
        <f t="shared" si="141"/>
        <v/>
      </c>
      <c r="FF776" s="1854" t="str">
        <f t="shared" si="142"/>
        <v/>
      </c>
      <c r="FG776" s="1854" t="str">
        <f t="shared" si="143"/>
        <v/>
      </c>
      <c r="FH776" s="1854" t="str">
        <f t="shared" si="144"/>
        <v/>
      </c>
      <c r="FI776" s="1854" t="str">
        <f t="shared" si="145"/>
        <v/>
      </c>
      <c r="FJ776" s="1854" t="str">
        <f t="shared" si="146"/>
        <v/>
      </c>
      <c r="FK776" s="1854" t="str">
        <f t="shared" si="147"/>
        <v/>
      </c>
      <c r="FL776" s="1854" t="str">
        <f t="shared" si="148"/>
        <v/>
      </c>
      <c r="FM776" s="1854" t="str">
        <f t="shared" si="149"/>
        <v/>
      </c>
      <c r="FN776" s="1854" t="str">
        <f t="shared" si="150"/>
        <v/>
      </c>
      <c r="FO776" s="1854" t="str">
        <f t="shared" si="151"/>
        <v/>
      </c>
      <c r="FP776" s="1854" t="str">
        <f t="shared" si="152"/>
        <v/>
      </c>
      <c r="FQ776" s="1854" t="str">
        <f t="shared" si="153"/>
        <v/>
      </c>
      <c r="FR776" s="1854" t="str">
        <f t="shared" si="154"/>
        <v/>
      </c>
      <c r="FS776" s="1854" t="str">
        <f t="shared" si="155"/>
        <v/>
      </c>
      <c r="FT776" s="1854" t="str">
        <f t="shared" si="156"/>
        <v/>
      </c>
      <c r="FU776" s="1854" t="str">
        <f t="shared" si="157"/>
        <v/>
      </c>
      <c r="FV776" s="1854" t="str">
        <f t="shared" si="158"/>
        <v/>
      </c>
      <c r="FW776" s="1854" t="str">
        <f t="shared" si="159"/>
        <v/>
      </c>
      <c r="FX776" s="1854" t="str">
        <f t="shared" si="160"/>
        <v/>
      </c>
      <c r="FY776" s="1854" t="str">
        <f t="shared" si="161"/>
        <v/>
      </c>
      <c r="FZ776" s="1854" t="str">
        <f t="shared" si="162"/>
        <v/>
      </c>
      <c r="GA776" s="1854" t="str">
        <f t="shared" si="163"/>
        <v/>
      </c>
      <c r="GB776" s="1854" t="str">
        <f t="shared" si="164"/>
        <v/>
      </c>
      <c r="GC776" s="1854" t="str">
        <f t="shared" si="165"/>
        <v/>
      </c>
      <c r="GD776" s="1854" t="str">
        <f t="shared" si="166"/>
        <v/>
      </c>
      <c r="GE776" s="1854" t="str">
        <f t="shared" si="167"/>
        <v/>
      </c>
      <c r="GF776" s="1854" t="str">
        <f t="shared" si="168"/>
        <v/>
      </c>
      <c r="GG776" s="1854" t="str">
        <f t="shared" si="169"/>
        <v/>
      </c>
      <c r="GH776" s="1854" t="str">
        <f t="shared" si="170"/>
        <v/>
      </c>
      <c r="GI776" s="1854" t="str">
        <f t="shared" si="171"/>
        <v/>
      </c>
      <c r="GJ776" s="1854" t="str">
        <f t="shared" si="172"/>
        <v/>
      </c>
      <c r="GK776" s="1854" t="str">
        <f t="shared" si="173"/>
        <v/>
      </c>
      <c r="GL776" s="1854" t="str">
        <f t="shared" si="174"/>
        <v/>
      </c>
      <c r="GM776" s="1854" t="str">
        <f t="shared" si="175"/>
        <v/>
      </c>
      <c r="GN776" s="1854" t="str">
        <f t="shared" si="176"/>
        <v/>
      </c>
      <c r="GO776" s="1854" t="str">
        <f t="shared" si="177"/>
        <v/>
      </c>
      <c r="GP776" s="1854" t="str">
        <f t="shared" si="178"/>
        <v/>
      </c>
      <c r="GQ776" s="1854" t="str">
        <f t="shared" si="179"/>
        <v/>
      </c>
      <c r="GR776" s="1854" t="str">
        <f t="shared" si="180"/>
        <v/>
      </c>
      <c r="GS776" s="1854" t="str">
        <f t="shared" si="181"/>
        <v/>
      </c>
      <c r="GT776" s="1854" t="str">
        <f t="shared" si="182"/>
        <v/>
      </c>
      <c r="GU776" s="1854" t="str">
        <f t="shared" si="183"/>
        <v/>
      </c>
      <c r="GV776" s="1854" t="str">
        <f t="shared" si="184"/>
        <v/>
      </c>
      <c r="GW776" s="1854" t="str">
        <f t="shared" si="185"/>
        <v/>
      </c>
      <c r="GX776" s="1854" t="str">
        <f t="shared" si="186"/>
        <v/>
      </c>
      <c r="GY776" s="1854" t="str">
        <f t="shared" si="187"/>
        <v/>
      </c>
      <c r="GZ776" s="1854" t="str">
        <f t="shared" si="188"/>
        <v/>
      </c>
      <c r="HA776" s="1854" t="str">
        <f t="shared" si="189"/>
        <v/>
      </c>
      <c r="HB776" s="1854" t="str">
        <f t="shared" si="190"/>
        <v/>
      </c>
      <c r="HC776" s="1854" t="str">
        <f t="shared" si="191"/>
        <v/>
      </c>
      <c r="HD776" s="1854" t="str">
        <f t="shared" si="192"/>
        <v/>
      </c>
      <c r="HE776" s="1854" t="str">
        <f t="shared" si="193"/>
        <v/>
      </c>
      <c r="HF776" s="1854" t="str">
        <f t="shared" si="194"/>
        <v/>
      </c>
      <c r="HG776" s="1854" t="str">
        <f t="shared" si="195"/>
        <v/>
      </c>
      <c r="HH776" s="1854" t="str">
        <f t="shared" si="196"/>
        <v/>
      </c>
      <c r="HI776" s="1854" t="str">
        <f t="shared" si="197"/>
        <v/>
      </c>
      <c r="HJ776" s="1854" t="str">
        <f t="shared" si="198"/>
        <v/>
      </c>
      <c r="HK776" s="1854" t="str">
        <f t="shared" si="199"/>
        <v/>
      </c>
      <c r="HL776" s="1854" t="str">
        <f t="shared" si="200"/>
        <v/>
      </c>
      <c r="HM776" s="1854" t="str">
        <f t="shared" si="201"/>
        <v/>
      </c>
      <c r="HN776" s="1854" t="str">
        <f t="shared" si="202"/>
        <v/>
      </c>
      <c r="HO776" s="1854" t="str">
        <f t="shared" si="203"/>
        <v/>
      </c>
      <c r="HP776" s="1854" t="str">
        <f t="shared" si="204"/>
        <v/>
      </c>
      <c r="HQ776" s="1854" t="str">
        <f t="shared" si="205"/>
        <v/>
      </c>
      <c r="HR776" s="1854" t="str">
        <f t="shared" si="206"/>
        <v/>
      </c>
      <c r="HS776" s="1854" t="str">
        <f t="shared" si="207"/>
        <v/>
      </c>
      <c r="HT776" s="1854" t="str">
        <f t="shared" si="208"/>
        <v/>
      </c>
      <c r="HU776" s="1854" t="str">
        <f t="shared" si="209"/>
        <v/>
      </c>
      <c r="HV776" s="1854" t="str">
        <f t="shared" si="210"/>
        <v/>
      </c>
      <c r="HW776" s="1854" t="str">
        <f t="shared" si="211"/>
        <v/>
      </c>
      <c r="HX776" s="1854" t="str">
        <f t="shared" si="212"/>
        <v/>
      </c>
      <c r="HY776" s="1854" t="str">
        <f t="shared" si="213"/>
        <v/>
      </c>
      <c r="HZ776" s="1854" t="str">
        <f t="shared" si="214"/>
        <v/>
      </c>
      <c r="IA776" s="1854" t="str">
        <f t="shared" si="215"/>
        <v/>
      </c>
      <c r="IB776" s="1854" t="str">
        <f t="shared" si="216"/>
        <v/>
      </c>
      <c r="IC776" s="1854" t="str">
        <f t="shared" si="217"/>
        <v/>
      </c>
      <c r="ID776" s="1826" t="str">
        <f t="shared" si="218"/>
        <v/>
      </c>
      <c r="IE776" s="1826" t="str">
        <f t="shared" si="219"/>
        <v/>
      </c>
      <c r="IF776" s="1826" t="str">
        <f t="shared" si="220"/>
        <v/>
      </c>
      <c r="IG776" s="1826" t="str">
        <f t="shared" si="221"/>
        <v/>
      </c>
      <c r="IH776" s="1826"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1824">
        <f t="shared" si="243"/>
        <v>0</v>
      </c>
      <c r="JD776" s="1824">
        <f t="shared" si="244"/>
        <v>0</v>
      </c>
      <c r="JE776" s="1824">
        <f t="shared" si="245"/>
        <v>0</v>
      </c>
      <c r="JF776" s="1824">
        <f t="shared" si="246"/>
        <v>0</v>
      </c>
      <c r="JG776" s="1824">
        <f t="shared" si="247"/>
        <v>0</v>
      </c>
      <c r="JH776" s="1824">
        <f t="shared" si="248"/>
        <v>0</v>
      </c>
      <c r="JI776" s="1824">
        <f t="shared" si="249"/>
        <v>0</v>
      </c>
      <c r="JJ776" s="1824">
        <f t="shared" si="250"/>
        <v>0</v>
      </c>
      <c r="JK776" s="1824">
        <f t="shared" si="251"/>
        <v>0</v>
      </c>
      <c r="JL776" s="1824">
        <f t="shared" si="252"/>
        <v>0</v>
      </c>
      <c r="JM776" s="1824">
        <f t="shared" si="253"/>
        <v>0</v>
      </c>
      <c r="JN776" s="1824">
        <f t="shared" si="254"/>
        <v>0</v>
      </c>
      <c r="JO776" s="1824">
        <f t="shared" si="255"/>
        <v>0</v>
      </c>
      <c r="JP776" s="1824">
        <f t="shared" si="256"/>
        <v>0</v>
      </c>
      <c r="JQ776" s="1824">
        <f t="shared" si="257"/>
        <v>0</v>
      </c>
    </row>
    <row r="777" spans="1:277" ht="12" customHeight="1">
      <c r="A777" s="1837" t="str">
        <f t="shared" si="0"/>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1"/>
        <v>0</v>
      </c>
      <c r="L777" s="1851">
        <f t="shared" si="2"/>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1854" t="str">
        <f t="shared" si="133"/>
        <v/>
      </c>
      <c r="EX777" s="1854" t="str">
        <f t="shared" si="134"/>
        <v/>
      </c>
      <c r="EY777" s="1854" t="str">
        <f t="shared" si="135"/>
        <v/>
      </c>
      <c r="EZ777" s="1854" t="str">
        <f t="shared" si="136"/>
        <v/>
      </c>
      <c r="FA777" s="1854" t="str">
        <f t="shared" si="137"/>
        <v/>
      </c>
      <c r="FB777" s="1854" t="str">
        <f t="shared" si="138"/>
        <v/>
      </c>
      <c r="FC777" s="1854" t="str">
        <f t="shared" si="139"/>
        <v/>
      </c>
      <c r="FD777" s="1854" t="str">
        <f t="shared" si="140"/>
        <v/>
      </c>
      <c r="FE777" s="1854" t="str">
        <f t="shared" si="141"/>
        <v/>
      </c>
      <c r="FF777" s="1854" t="str">
        <f t="shared" si="142"/>
        <v/>
      </c>
      <c r="FG777" s="1854" t="str">
        <f t="shared" si="143"/>
        <v/>
      </c>
      <c r="FH777" s="1854" t="str">
        <f t="shared" si="144"/>
        <v/>
      </c>
      <c r="FI777" s="1854" t="str">
        <f t="shared" si="145"/>
        <v/>
      </c>
      <c r="FJ777" s="1854" t="str">
        <f t="shared" si="146"/>
        <v/>
      </c>
      <c r="FK777" s="1854" t="str">
        <f t="shared" si="147"/>
        <v/>
      </c>
      <c r="FL777" s="1854" t="str">
        <f t="shared" si="148"/>
        <v/>
      </c>
      <c r="FM777" s="1854" t="str">
        <f t="shared" si="149"/>
        <v/>
      </c>
      <c r="FN777" s="1854" t="str">
        <f t="shared" si="150"/>
        <v/>
      </c>
      <c r="FO777" s="1854" t="str">
        <f t="shared" si="151"/>
        <v/>
      </c>
      <c r="FP777" s="1854" t="str">
        <f t="shared" si="152"/>
        <v/>
      </c>
      <c r="FQ777" s="1854" t="str">
        <f t="shared" si="153"/>
        <v/>
      </c>
      <c r="FR777" s="1854" t="str">
        <f t="shared" si="154"/>
        <v/>
      </c>
      <c r="FS777" s="1854" t="str">
        <f t="shared" si="155"/>
        <v/>
      </c>
      <c r="FT777" s="1854" t="str">
        <f t="shared" si="156"/>
        <v/>
      </c>
      <c r="FU777" s="1854" t="str">
        <f t="shared" si="157"/>
        <v/>
      </c>
      <c r="FV777" s="1854" t="str">
        <f t="shared" si="158"/>
        <v/>
      </c>
      <c r="FW777" s="1854" t="str">
        <f t="shared" si="159"/>
        <v/>
      </c>
      <c r="FX777" s="1854" t="str">
        <f t="shared" si="160"/>
        <v/>
      </c>
      <c r="FY777" s="1854" t="str">
        <f t="shared" si="161"/>
        <v/>
      </c>
      <c r="FZ777" s="1854" t="str">
        <f t="shared" si="162"/>
        <v/>
      </c>
      <c r="GA777" s="1854" t="str">
        <f t="shared" si="163"/>
        <v/>
      </c>
      <c r="GB777" s="1854" t="str">
        <f t="shared" si="164"/>
        <v/>
      </c>
      <c r="GC777" s="1854" t="str">
        <f t="shared" si="165"/>
        <v/>
      </c>
      <c r="GD777" s="1854" t="str">
        <f t="shared" si="166"/>
        <v/>
      </c>
      <c r="GE777" s="1854" t="str">
        <f t="shared" si="167"/>
        <v/>
      </c>
      <c r="GF777" s="1854" t="str">
        <f t="shared" si="168"/>
        <v/>
      </c>
      <c r="GG777" s="1854" t="str">
        <f t="shared" si="169"/>
        <v/>
      </c>
      <c r="GH777" s="1854" t="str">
        <f t="shared" si="170"/>
        <v/>
      </c>
      <c r="GI777" s="1854" t="str">
        <f t="shared" si="171"/>
        <v/>
      </c>
      <c r="GJ777" s="1854" t="str">
        <f t="shared" si="172"/>
        <v/>
      </c>
      <c r="GK777" s="1854" t="str">
        <f t="shared" si="173"/>
        <v/>
      </c>
      <c r="GL777" s="1854" t="str">
        <f t="shared" si="174"/>
        <v/>
      </c>
      <c r="GM777" s="1854" t="str">
        <f t="shared" si="175"/>
        <v/>
      </c>
      <c r="GN777" s="1854" t="str">
        <f t="shared" si="176"/>
        <v/>
      </c>
      <c r="GO777" s="1854" t="str">
        <f t="shared" si="177"/>
        <v/>
      </c>
      <c r="GP777" s="1854" t="str">
        <f t="shared" si="178"/>
        <v/>
      </c>
      <c r="GQ777" s="1854" t="str">
        <f t="shared" si="179"/>
        <v/>
      </c>
      <c r="GR777" s="1854" t="str">
        <f t="shared" si="180"/>
        <v/>
      </c>
      <c r="GS777" s="1854" t="str">
        <f t="shared" si="181"/>
        <v/>
      </c>
      <c r="GT777" s="1854" t="str">
        <f t="shared" si="182"/>
        <v/>
      </c>
      <c r="GU777" s="1854" t="str">
        <f t="shared" si="183"/>
        <v/>
      </c>
      <c r="GV777" s="1854" t="str">
        <f t="shared" si="184"/>
        <v/>
      </c>
      <c r="GW777" s="1854" t="str">
        <f t="shared" si="185"/>
        <v/>
      </c>
      <c r="GX777" s="1854" t="str">
        <f t="shared" si="186"/>
        <v/>
      </c>
      <c r="GY777" s="1854" t="str">
        <f t="shared" si="187"/>
        <v/>
      </c>
      <c r="GZ777" s="1854" t="str">
        <f t="shared" si="188"/>
        <v/>
      </c>
      <c r="HA777" s="1854" t="str">
        <f t="shared" si="189"/>
        <v/>
      </c>
      <c r="HB777" s="1854" t="str">
        <f t="shared" si="190"/>
        <v/>
      </c>
      <c r="HC777" s="1854" t="str">
        <f t="shared" si="191"/>
        <v/>
      </c>
      <c r="HD777" s="1854" t="str">
        <f t="shared" si="192"/>
        <v/>
      </c>
      <c r="HE777" s="1854" t="str">
        <f t="shared" si="193"/>
        <v/>
      </c>
      <c r="HF777" s="1854" t="str">
        <f t="shared" si="194"/>
        <v/>
      </c>
      <c r="HG777" s="1854" t="str">
        <f t="shared" si="195"/>
        <v/>
      </c>
      <c r="HH777" s="1854" t="str">
        <f t="shared" si="196"/>
        <v/>
      </c>
      <c r="HI777" s="1854" t="str">
        <f t="shared" si="197"/>
        <v/>
      </c>
      <c r="HJ777" s="1854" t="str">
        <f t="shared" si="198"/>
        <v/>
      </c>
      <c r="HK777" s="1854" t="str">
        <f t="shared" si="199"/>
        <v/>
      </c>
      <c r="HL777" s="1854" t="str">
        <f t="shared" si="200"/>
        <v/>
      </c>
      <c r="HM777" s="1854" t="str">
        <f t="shared" si="201"/>
        <v/>
      </c>
      <c r="HN777" s="1854" t="str">
        <f t="shared" si="202"/>
        <v/>
      </c>
      <c r="HO777" s="1854" t="str">
        <f t="shared" si="203"/>
        <v/>
      </c>
      <c r="HP777" s="1854" t="str">
        <f t="shared" si="204"/>
        <v/>
      </c>
      <c r="HQ777" s="1854" t="str">
        <f t="shared" si="205"/>
        <v/>
      </c>
      <c r="HR777" s="1854" t="str">
        <f t="shared" si="206"/>
        <v/>
      </c>
      <c r="HS777" s="1854" t="str">
        <f t="shared" si="207"/>
        <v/>
      </c>
      <c r="HT777" s="1854" t="str">
        <f t="shared" si="208"/>
        <v/>
      </c>
      <c r="HU777" s="1854" t="str">
        <f t="shared" si="209"/>
        <v/>
      </c>
      <c r="HV777" s="1854" t="str">
        <f t="shared" si="210"/>
        <v/>
      </c>
      <c r="HW777" s="1854" t="str">
        <f t="shared" si="211"/>
        <v/>
      </c>
      <c r="HX777" s="1854" t="str">
        <f t="shared" si="212"/>
        <v/>
      </c>
      <c r="HY777" s="1854" t="str">
        <f t="shared" si="213"/>
        <v/>
      </c>
      <c r="HZ777" s="1854" t="str">
        <f t="shared" si="214"/>
        <v/>
      </c>
      <c r="IA777" s="1854" t="str">
        <f t="shared" si="215"/>
        <v/>
      </c>
      <c r="IB777" s="1854" t="str">
        <f t="shared" si="216"/>
        <v/>
      </c>
      <c r="IC777" s="1854" t="str">
        <f t="shared" si="217"/>
        <v/>
      </c>
      <c r="ID777" s="1826" t="str">
        <f t="shared" si="218"/>
        <v/>
      </c>
      <c r="IE777" s="1826" t="str">
        <f t="shared" si="219"/>
        <v/>
      </c>
      <c r="IF777" s="1826" t="str">
        <f t="shared" si="220"/>
        <v/>
      </c>
      <c r="IG777" s="1826" t="str">
        <f t="shared" si="221"/>
        <v/>
      </c>
      <c r="IH777" s="1826"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1824">
        <f t="shared" si="243"/>
        <v>0</v>
      </c>
      <c r="JD777" s="1824">
        <f t="shared" si="244"/>
        <v>0</v>
      </c>
      <c r="JE777" s="1824">
        <f t="shared" si="245"/>
        <v>0</v>
      </c>
      <c r="JF777" s="1824">
        <f t="shared" si="246"/>
        <v>0</v>
      </c>
      <c r="JG777" s="1824">
        <f t="shared" si="247"/>
        <v>0</v>
      </c>
      <c r="JH777" s="1824">
        <f t="shared" si="248"/>
        <v>0</v>
      </c>
      <c r="JI777" s="1824">
        <f t="shared" si="249"/>
        <v>0</v>
      </c>
      <c r="JJ777" s="1824">
        <f t="shared" si="250"/>
        <v>0</v>
      </c>
      <c r="JK777" s="1824">
        <f t="shared" si="251"/>
        <v>0</v>
      </c>
      <c r="JL777" s="1824">
        <f t="shared" si="252"/>
        <v>0</v>
      </c>
      <c r="JM777" s="1824">
        <f t="shared" si="253"/>
        <v>0</v>
      </c>
      <c r="JN777" s="1824">
        <f t="shared" si="254"/>
        <v>0</v>
      </c>
      <c r="JO777" s="1824">
        <f t="shared" si="255"/>
        <v>0</v>
      </c>
      <c r="JP777" s="1824">
        <f t="shared" si="256"/>
        <v>0</v>
      </c>
      <c r="JQ777" s="1824">
        <f t="shared" si="257"/>
        <v>0</v>
      </c>
    </row>
    <row r="778" spans="1:277" ht="12" customHeight="1">
      <c r="A778" s="1837" t="str">
        <f t="shared" si="0"/>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1"/>
        <v>0</v>
      </c>
      <c r="L778" s="1851">
        <f t="shared" si="2"/>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1854" t="str">
        <f t="shared" si="133"/>
        <v/>
      </c>
      <c r="EX778" s="1854" t="str">
        <f t="shared" si="134"/>
        <v/>
      </c>
      <c r="EY778" s="1854" t="str">
        <f t="shared" si="135"/>
        <v/>
      </c>
      <c r="EZ778" s="1854" t="str">
        <f t="shared" si="136"/>
        <v/>
      </c>
      <c r="FA778" s="1854" t="str">
        <f t="shared" si="137"/>
        <v/>
      </c>
      <c r="FB778" s="1854" t="str">
        <f t="shared" si="138"/>
        <v/>
      </c>
      <c r="FC778" s="1854" t="str">
        <f t="shared" si="139"/>
        <v/>
      </c>
      <c r="FD778" s="1854" t="str">
        <f t="shared" si="140"/>
        <v/>
      </c>
      <c r="FE778" s="1854" t="str">
        <f t="shared" si="141"/>
        <v/>
      </c>
      <c r="FF778" s="1854" t="str">
        <f t="shared" si="142"/>
        <v/>
      </c>
      <c r="FG778" s="1854" t="str">
        <f t="shared" si="143"/>
        <v/>
      </c>
      <c r="FH778" s="1854" t="str">
        <f t="shared" si="144"/>
        <v/>
      </c>
      <c r="FI778" s="1854" t="str">
        <f t="shared" si="145"/>
        <v/>
      </c>
      <c r="FJ778" s="1854" t="str">
        <f t="shared" si="146"/>
        <v/>
      </c>
      <c r="FK778" s="1854" t="str">
        <f t="shared" si="147"/>
        <v/>
      </c>
      <c r="FL778" s="1854" t="str">
        <f t="shared" si="148"/>
        <v/>
      </c>
      <c r="FM778" s="1854" t="str">
        <f t="shared" si="149"/>
        <v/>
      </c>
      <c r="FN778" s="1854" t="str">
        <f t="shared" si="150"/>
        <v/>
      </c>
      <c r="FO778" s="1854" t="str">
        <f t="shared" si="151"/>
        <v/>
      </c>
      <c r="FP778" s="1854" t="str">
        <f t="shared" si="152"/>
        <v/>
      </c>
      <c r="FQ778" s="1854" t="str">
        <f t="shared" si="153"/>
        <v/>
      </c>
      <c r="FR778" s="1854" t="str">
        <f t="shared" si="154"/>
        <v/>
      </c>
      <c r="FS778" s="1854" t="str">
        <f t="shared" si="155"/>
        <v/>
      </c>
      <c r="FT778" s="1854" t="str">
        <f t="shared" si="156"/>
        <v/>
      </c>
      <c r="FU778" s="1854" t="str">
        <f t="shared" si="157"/>
        <v/>
      </c>
      <c r="FV778" s="1854" t="str">
        <f t="shared" si="158"/>
        <v/>
      </c>
      <c r="FW778" s="1854" t="str">
        <f t="shared" si="159"/>
        <v/>
      </c>
      <c r="FX778" s="1854" t="str">
        <f t="shared" si="160"/>
        <v/>
      </c>
      <c r="FY778" s="1854" t="str">
        <f t="shared" si="161"/>
        <v/>
      </c>
      <c r="FZ778" s="1854" t="str">
        <f t="shared" si="162"/>
        <v/>
      </c>
      <c r="GA778" s="1854" t="str">
        <f t="shared" si="163"/>
        <v/>
      </c>
      <c r="GB778" s="1854" t="str">
        <f t="shared" si="164"/>
        <v/>
      </c>
      <c r="GC778" s="1854" t="str">
        <f t="shared" si="165"/>
        <v/>
      </c>
      <c r="GD778" s="1854" t="str">
        <f t="shared" si="166"/>
        <v/>
      </c>
      <c r="GE778" s="1854" t="str">
        <f t="shared" si="167"/>
        <v/>
      </c>
      <c r="GF778" s="1854" t="str">
        <f t="shared" si="168"/>
        <v/>
      </c>
      <c r="GG778" s="1854" t="str">
        <f t="shared" si="169"/>
        <v/>
      </c>
      <c r="GH778" s="1854" t="str">
        <f t="shared" si="170"/>
        <v/>
      </c>
      <c r="GI778" s="1854" t="str">
        <f t="shared" si="171"/>
        <v/>
      </c>
      <c r="GJ778" s="1854" t="str">
        <f t="shared" si="172"/>
        <v/>
      </c>
      <c r="GK778" s="1854" t="str">
        <f t="shared" si="173"/>
        <v/>
      </c>
      <c r="GL778" s="1854" t="str">
        <f t="shared" si="174"/>
        <v/>
      </c>
      <c r="GM778" s="1854" t="str">
        <f t="shared" si="175"/>
        <v/>
      </c>
      <c r="GN778" s="1854" t="str">
        <f t="shared" si="176"/>
        <v/>
      </c>
      <c r="GO778" s="1854" t="str">
        <f t="shared" si="177"/>
        <v/>
      </c>
      <c r="GP778" s="1854" t="str">
        <f t="shared" si="178"/>
        <v/>
      </c>
      <c r="GQ778" s="1854" t="str">
        <f t="shared" si="179"/>
        <v/>
      </c>
      <c r="GR778" s="1854" t="str">
        <f t="shared" si="180"/>
        <v/>
      </c>
      <c r="GS778" s="1854" t="str">
        <f t="shared" si="181"/>
        <v/>
      </c>
      <c r="GT778" s="1854" t="str">
        <f t="shared" si="182"/>
        <v/>
      </c>
      <c r="GU778" s="1854" t="str">
        <f t="shared" si="183"/>
        <v/>
      </c>
      <c r="GV778" s="1854" t="str">
        <f t="shared" si="184"/>
        <v/>
      </c>
      <c r="GW778" s="1854" t="str">
        <f t="shared" si="185"/>
        <v/>
      </c>
      <c r="GX778" s="1854" t="str">
        <f t="shared" si="186"/>
        <v/>
      </c>
      <c r="GY778" s="1854" t="str">
        <f t="shared" si="187"/>
        <v/>
      </c>
      <c r="GZ778" s="1854" t="str">
        <f t="shared" si="188"/>
        <v/>
      </c>
      <c r="HA778" s="1854" t="str">
        <f t="shared" si="189"/>
        <v/>
      </c>
      <c r="HB778" s="1854" t="str">
        <f t="shared" si="190"/>
        <v/>
      </c>
      <c r="HC778" s="1854" t="str">
        <f t="shared" si="191"/>
        <v/>
      </c>
      <c r="HD778" s="1854" t="str">
        <f t="shared" si="192"/>
        <v/>
      </c>
      <c r="HE778" s="1854" t="str">
        <f t="shared" si="193"/>
        <v/>
      </c>
      <c r="HF778" s="1854" t="str">
        <f t="shared" si="194"/>
        <v/>
      </c>
      <c r="HG778" s="1854" t="str">
        <f t="shared" si="195"/>
        <v/>
      </c>
      <c r="HH778" s="1854" t="str">
        <f t="shared" si="196"/>
        <v/>
      </c>
      <c r="HI778" s="1854" t="str">
        <f t="shared" si="197"/>
        <v/>
      </c>
      <c r="HJ778" s="1854" t="str">
        <f t="shared" si="198"/>
        <v/>
      </c>
      <c r="HK778" s="1854" t="str">
        <f t="shared" si="199"/>
        <v/>
      </c>
      <c r="HL778" s="1854" t="str">
        <f t="shared" si="200"/>
        <v/>
      </c>
      <c r="HM778" s="1854" t="str">
        <f t="shared" si="201"/>
        <v/>
      </c>
      <c r="HN778" s="1854" t="str">
        <f t="shared" si="202"/>
        <v/>
      </c>
      <c r="HO778" s="1854" t="str">
        <f t="shared" si="203"/>
        <v/>
      </c>
      <c r="HP778" s="1854" t="str">
        <f t="shared" si="204"/>
        <v/>
      </c>
      <c r="HQ778" s="1854" t="str">
        <f t="shared" si="205"/>
        <v/>
      </c>
      <c r="HR778" s="1854" t="str">
        <f t="shared" si="206"/>
        <v/>
      </c>
      <c r="HS778" s="1854" t="str">
        <f t="shared" si="207"/>
        <v/>
      </c>
      <c r="HT778" s="1854" t="str">
        <f t="shared" si="208"/>
        <v/>
      </c>
      <c r="HU778" s="1854" t="str">
        <f t="shared" si="209"/>
        <v/>
      </c>
      <c r="HV778" s="1854" t="str">
        <f t="shared" si="210"/>
        <v/>
      </c>
      <c r="HW778" s="1854" t="str">
        <f t="shared" si="211"/>
        <v/>
      </c>
      <c r="HX778" s="1854" t="str">
        <f t="shared" si="212"/>
        <v/>
      </c>
      <c r="HY778" s="1854" t="str">
        <f t="shared" si="213"/>
        <v/>
      </c>
      <c r="HZ778" s="1854" t="str">
        <f t="shared" si="214"/>
        <v/>
      </c>
      <c r="IA778" s="1854" t="str">
        <f t="shared" si="215"/>
        <v/>
      </c>
      <c r="IB778" s="1854" t="str">
        <f t="shared" si="216"/>
        <v/>
      </c>
      <c r="IC778" s="1854" t="str">
        <f t="shared" si="217"/>
        <v/>
      </c>
      <c r="ID778" s="1826" t="str">
        <f t="shared" si="218"/>
        <v/>
      </c>
      <c r="IE778" s="1826" t="str">
        <f t="shared" si="219"/>
        <v/>
      </c>
      <c r="IF778" s="1826" t="str">
        <f t="shared" si="220"/>
        <v/>
      </c>
      <c r="IG778" s="1826" t="str">
        <f t="shared" si="221"/>
        <v/>
      </c>
      <c r="IH778" s="1826"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1824">
        <f t="shared" si="243"/>
        <v>0</v>
      </c>
      <c r="JD778" s="1824">
        <f t="shared" si="244"/>
        <v>0</v>
      </c>
      <c r="JE778" s="1824">
        <f t="shared" si="245"/>
        <v>0</v>
      </c>
      <c r="JF778" s="1824">
        <f t="shared" si="246"/>
        <v>0</v>
      </c>
      <c r="JG778" s="1824">
        <f t="shared" si="247"/>
        <v>0</v>
      </c>
      <c r="JH778" s="1824">
        <f t="shared" si="248"/>
        <v>0</v>
      </c>
      <c r="JI778" s="1824">
        <f t="shared" si="249"/>
        <v>0</v>
      </c>
      <c r="JJ778" s="1824">
        <f t="shared" si="250"/>
        <v>0</v>
      </c>
      <c r="JK778" s="1824">
        <f t="shared" si="251"/>
        <v>0</v>
      </c>
      <c r="JL778" s="1824">
        <f t="shared" si="252"/>
        <v>0</v>
      </c>
      <c r="JM778" s="1824">
        <f t="shared" si="253"/>
        <v>0</v>
      </c>
      <c r="JN778" s="1824">
        <f t="shared" si="254"/>
        <v>0</v>
      </c>
      <c r="JO778" s="1824">
        <f t="shared" si="255"/>
        <v>0</v>
      </c>
      <c r="JP778" s="1824">
        <f t="shared" si="256"/>
        <v>0</v>
      </c>
      <c r="JQ778" s="1824">
        <f t="shared" si="257"/>
        <v>0</v>
      </c>
    </row>
    <row r="779" spans="1:277" ht="12" customHeight="1">
      <c r="A779" s="1837" t="str">
        <f t="shared" si="0"/>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1"/>
        <v>0</v>
      </c>
      <c r="L779" s="1851">
        <f t="shared" si="2"/>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1854" t="str">
        <f t="shared" si="133"/>
        <v/>
      </c>
      <c r="EX779" s="1854" t="str">
        <f t="shared" si="134"/>
        <v/>
      </c>
      <c r="EY779" s="1854" t="str">
        <f t="shared" si="135"/>
        <v/>
      </c>
      <c r="EZ779" s="1854" t="str">
        <f t="shared" si="136"/>
        <v/>
      </c>
      <c r="FA779" s="1854" t="str">
        <f t="shared" si="137"/>
        <v/>
      </c>
      <c r="FB779" s="1854" t="str">
        <f t="shared" si="138"/>
        <v/>
      </c>
      <c r="FC779" s="1854" t="str">
        <f t="shared" si="139"/>
        <v/>
      </c>
      <c r="FD779" s="1854" t="str">
        <f t="shared" si="140"/>
        <v/>
      </c>
      <c r="FE779" s="1854" t="str">
        <f t="shared" si="141"/>
        <v/>
      </c>
      <c r="FF779" s="1854" t="str">
        <f t="shared" si="142"/>
        <v/>
      </c>
      <c r="FG779" s="1854" t="str">
        <f t="shared" si="143"/>
        <v/>
      </c>
      <c r="FH779" s="1854" t="str">
        <f t="shared" si="144"/>
        <v/>
      </c>
      <c r="FI779" s="1854" t="str">
        <f t="shared" si="145"/>
        <v/>
      </c>
      <c r="FJ779" s="1854" t="str">
        <f t="shared" si="146"/>
        <v/>
      </c>
      <c r="FK779" s="1854" t="str">
        <f t="shared" si="147"/>
        <v/>
      </c>
      <c r="FL779" s="1854" t="str">
        <f t="shared" si="148"/>
        <v/>
      </c>
      <c r="FM779" s="1854" t="str">
        <f t="shared" si="149"/>
        <v/>
      </c>
      <c r="FN779" s="1854" t="str">
        <f t="shared" si="150"/>
        <v/>
      </c>
      <c r="FO779" s="1854" t="str">
        <f t="shared" si="151"/>
        <v/>
      </c>
      <c r="FP779" s="1854" t="str">
        <f t="shared" si="152"/>
        <v/>
      </c>
      <c r="FQ779" s="1854" t="str">
        <f t="shared" si="153"/>
        <v/>
      </c>
      <c r="FR779" s="1854" t="str">
        <f t="shared" si="154"/>
        <v/>
      </c>
      <c r="FS779" s="1854" t="str">
        <f t="shared" si="155"/>
        <v/>
      </c>
      <c r="FT779" s="1854" t="str">
        <f t="shared" si="156"/>
        <v/>
      </c>
      <c r="FU779" s="1854" t="str">
        <f t="shared" si="157"/>
        <v/>
      </c>
      <c r="FV779" s="1854" t="str">
        <f t="shared" si="158"/>
        <v/>
      </c>
      <c r="FW779" s="1854" t="str">
        <f t="shared" si="159"/>
        <v/>
      </c>
      <c r="FX779" s="1854" t="str">
        <f t="shared" si="160"/>
        <v/>
      </c>
      <c r="FY779" s="1854" t="str">
        <f t="shared" si="161"/>
        <v/>
      </c>
      <c r="FZ779" s="1854" t="str">
        <f t="shared" si="162"/>
        <v/>
      </c>
      <c r="GA779" s="1854" t="str">
        <f t="shared" si="163"/>
        <v/>
      </c>
      <c r="GB779" s="1854" t="str">
        <f t="shared" si="164"/>
        <v/>
      </c>
      <c r="GC779" s="1854" t="str">
        <f t="shared" si="165"/>
        <v/>
      </c>
      <c r="GD779" s="1854" t="str">
        <f t="shared" si="166"/>
        <v/>
      </c>
      <c r="GE779" s="1854" t="str">
        <f t="shared" si="167"/>
        <v/>
      </c>
      <c r="GF779" s="1854" t="str">
        <f t="shared" si="168"/>
        <v/>
      </c>
      <c r="GG779" s="1854" t="str">
        <f t="shared" si="169"/>
        <v/>
      </c>
      <c r="GH779" s="1854" t="str">
        <f t="shared" si="170"/>
        <v/>
      </c>
      <c r="GI779" s="1854" t="str">
        <f t="shared" si="171"/>
        <v/>
      </c>
      <c r="GJ779" s="1854" t="str">
        <f t="shared" si="172"/>
        <v/>
      </c>
      <c r="GK779" s="1854" t="str">
        <f t="shared" si="173"/>
        <v/>
      </c>
      <c r="GL779" s="1854" t="str">
        <f t="shared" si="174"/>
        <v/>
      </c>
      <c r="GM779" s="1854" t="str">
        <f t="shared" si="175"/>
        <v/>
      </c>
      <c r="GN779" s="1854" t="str">
        <f t="shared" si="176"/>
        <v/>
      </c>
      <c r="GO779" s="1854" t="str">
        <f t="shared" si="177"/>
        <v/>
      </c>
      <c r="GP779" s="1854" t="str">
        <f t="shared" si="178"/>
        <v/>
      </c>
      <c r="GQ779" s="1854" t="str">
        <f t="shared" si="179"/>
        <v/>
      </c>
      <c r="GR779" s="1854" t="str">
        <f t="shared" si="180"/>
        <v/>
      </c>
      <c r="GS779" s="1854" t="str">
        <f t="shared" si="181"/>
        <v/>
      </c>
      <c r="GT779" s="1854" t="str">
        <f t="shared" si="182"/>
        <v/>
      </c>
      <c r="GU779" s="1854" t="str">
        <f t="shared" si="183"/>
        <v/>
      </c>
      <c r="GV779" s="1854" t="str">
        <f t="shared" si="184"/>
        <v/>
      </c>
      <c r="GW779" s="1854" t="str">
        <f t="shared" si="185"/>
        <v/>
      </c>
      <c r="GX779" s="1854" t="str">
        <f t="shared" si="186"/>
        <v/>
      </c>
      <c r="GY779" s="1854" t="str">
        <f t="shared" si="187"/>
        <v/>
      </c>
      <c r="GZ779" s="1854" t="str">
        <f t="shared" si="188"/>
        <v/>
      </c>
      <c r="HA779" s="1854" t="str">
        <f t="shared" si="189"/>
        <v/>
      </c>
      <c r="HB779" s="1854" t="str">
        <f t="shared" si="190"/>
        <v/>
      </c>
      <c r="HC779" s="1854" t="str">
        <f t="shared" si="191"/>
        <v/>
      </c>
      <c r="HD779" s="1854" t="str">
        <f t="shared" si="192"/>
        <v/>
      </c>
      <c r="HE779" s="1854" t="str">
        <f t="shared" si="193"/>
        <v/>
      </c>
      <c r="HF779" s="1854" t="str">
        <f t="shared" si="194"/>
        <v/>
      </c>
      <c r="HG779" s="1854" t="str">
        <f t="shared" si="195"/>
        <v/>
      </c>
      <c r="HH779" s="1854" t="str">
        <f t="shared" si="196"/>
        <v/>
      </c>
      <c r="HI779" s="1854" t="str">
        <f t="shared" si="197"/>
        <v/>
      </c>
      <c r="HJ779" s="1854" t="str">
        <f t="shared" si="198"/>
        <v/>
      </c>
      <c r="HK779" s="1854" t="str">
        <f t="shared" si="199"/>
        <v/>
      </c>
      <c r="HL779" s="1854" t="str">
        <f t="shared" si="200"/>
        <v/>
      </c>
      <c r="HM779" s="1854" t="str">
        <f t="shared" si="201"/>
        <v/>
      </c>
      <c r="HN779" s="1854" t="str">
        <f t="shared" si="202"/>
        <v/>
      </c>
      <c r="HO779" s="1854" t="str">
        <f t="shared" si="203"/>
        <v/>
      </c>
      <c r="HP779" s="1854" t="str">
        <f t="shared" si="204"/>
        <v/>
      </c>
      <c r="HQ779" s="1854" t="str">
        <f t="shared" si="205"/>
        <v/>
      </c>
      <c r="HR779" s="1854" t="str">
        <f t="shared" si="206"/>
        <v/>
      </c>
      <c r="HS779" s="1854" t="str">
        <f t="shared" si="207"/>
        <v/>
      </c>
      <c r="HT779" s="1854" t="str">
        <f t="shared" si="208"/>
        <v/>
      </c>
      <c r="HU779" s="1854" t="str">
        <f t="shared" si="209"/>
        <v/>
      </c>
      <c r="HV779" s="1854" t="str">
        <f t="shared" si="210"/>
        <v/>
      </c>
      <c r="HW779" s="1854" t="str">
        <f t="shared" si="211"/>
        <v/>
      </c>
      <c r="HX779" s="1854" t="str">
        <f t="shared" si="212"/>
        <v/>
      </c>
      <c r="HY779" s="1854" t="str">
        <f t="shared" si="213"/>
        <v/>
      </c>
      <c r="HZ779" s="1854" t="str">
        <f t="shared" si="214"/>
        <v/>
      </c>
      <c r="IA779" s="1854" t="str">
        <f t="shared" si="215"/>
        <v/>
      </c>
      <c r="IB779" s="1854" t="str">
        <f t="shared" si="216"/>
        <v/>
      </c>
      <c r="IC779" s="1854" t="str">
        <f t="shared" si="217"/>
        <v/>
      </c>
      <c r="ID779" s="1826" t="str">
        <f t="shared" si="218"/>
        <v/>
      </c>
      <c r="IE779" s="1826" t="str">
        <f t="shared" si="219"/>
        <v/>
      </c>
      <c r="IF779" s="1826" t="str">
        <f t="shared" si="220"/>
        <v/>
      </c>
      <c r="IG779" s="1826" t="str">
        <f t="shared" si="221"/>
        <v/>
      </c>
      <c r="IH779" s="1826"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1824">
        <f t="shared" si="243"/>
        <v>0</v>
      </c>
      <c r="JD779" s="1824">
        <f t="shared" si="244"/>
        <v>0</v>
      </c>
      <c r="JE779" s="1824">
        <f t="shared" si="245"/>
        <v>0</v>
      </c>
      <c r="JF779" s="1824">
        <f t="shared" si="246"/>
        <v>0</v>
      </c>
      <c r="JG779" s="1824">
        <f t="shared" si="247"/>
        <v>0</v>
      </c>
      <c r="JH779" s="1824">
        <f t="shared" si="248"/>
        <v>0</v>
      </c>
      <c r="JI779" s="1824">
        <f t="shared" si="249"/>
        <v>0</v>
      </c>
      <c r="JJ779" s="1824">
        <f t="shared" si="250"/>
        <v>0</v>
      </c>
      <c r="JK779" s="1824">
        <f t="shared" si="251"/>
        <v>0</v>
      </c>
      <c r="JL779" s="1824">
        <f t="shared" si="252"/>
        <v>0</v>
      </c>
      <c r="JM779" s="1824">
        <f t="shared" si="253"/>
        <v>0</v>
      </c>
      <c r="JN779" s="1824">
        <f t="shared" si="254"/>
        <v>0</v>
      </c>
      <c r="JO779" s="1824">
        <f t="shared" si="255"/>
        <v>0</v>
      </c>
      <c r="JP779" s="1824">
        <f t="shared" si="256"/>
        <v>0</v>
      </c>
      <c r="JQ779" s="1824">
        <f t="shared" si="257"/>
        <v>0</v>
      </c>
    </row>
    <row r="780" spans="1:277" ht="12" customHeight="1">
      <c r="A780" s="1837" t="str">
        <f t="shared" si="0"/>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1"/>
        <v>0</v>
      </c>
      <c r="L780" s="1851">
        <f t="shared" si="2"/>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1854" t="str">
        <f t="shared" si="133"/>
        <v/>
      </c>
      <c r="EX780" s="1854" t="str">
        <f t="shared" si="134"/>
        <v/>
      </c>
      <c r="EY780" s="1854" t="str">
        <f t="shared" si="135"/>
        <v/>
      </c>
      <c r="EZ780" s="1854" t="str">
        <f t="shared" si="136"/>
        <v/>
      </c>
      <c r="FA780" s="1854" t="str">
        <f t="shared" si="137"/>
        <v/>
      </c>
      <c r="FB780" s="1854" t="str">
        <f t="shared" si="138"/>
        <v/>
      </c>
      <c r="FC780" s="1854" t="str">
        <f t="shared" si="139"/>
        <v/>
      </c>
      <c r="FD780" s="1854" t="str">
        <f t="shared" si="140"/>
        <v/>
      </c>
      <c r="FE780" s="1854" t="str">
        <f t="shared" si="141"/>
        <v/>
      </c>
      <c r="FF780" s="1854" t="str">
        <f t="shared" si="142"/>
        <v/>
      </c>
      <c r="FG780" s="1854" t="str">
        <f t="shared" si="143"/>
        <v/>
      </c>
      <c r="FH780" s="1854" t="str">
        <f t="shared" si="144"/>
        <v/>
      </c>
      <c r="FI780" s="1854" t="str">
        <f t="shared" si="145"/>
        <v/>
      </c>
      <c r="FJ780" s="1854" t="str">
        <f t="shared" si="146"/>
        <v/>
      </c>
      <c r="FK780" s="1854" t="str">
        <f t="shared" si="147"/>
        <v/>
      </c>
      <c r="FL780" s="1854" t="str">
        <f t="shared" si="148"/>
        <v/>
      </c>
      <c r="FM780" s="1854" t="str">
        <f t="shared" si="149"/>
        <v/>
      </c>
      <c r="FN780" s="1854" t="str">
        <f t="shared" si="150"/>
        <v/>
      </c>
      <c r="FO780" s="1854" t="str">
        <f t="shared" si="151"/>
        <v/>
      </c>
      <c r="FP780" s="1854" t="str">
        <f t="shared" si="152"/>
        <v/>
      </c>
      <c r="FQ780" s="1854" t="str">
        <f t="shared" si="153"/>
        <v/>
      </c>
      <c r="FR780" s="1854" t="str">
        <f t="shared" si="154"/>
        <v/>
      </c>
      <c r="FS780" s="1854" t="str">
        <f t="shared" si="155"/>
        <v/>
      </c>
      <c r="FT780" s="1854" t="str">
        <f t="shared" si="156"/>
        <v/>
      </c>
      <c r="FU780" s="1854" t="str">
        <f t="shared" si="157"/>
        <v/>
      </c>
      <c r="FV780" s="1854" t="str">
        <f t="shared" si="158"/>
        <v/>
      </c>
      <c r="FW780" s="1854" t="str">
        <f t="shared" si="159"/>
        <v/>
      </c>
      <c r="FX780" s="1854" t="str">
        <f t="shared" si="160"/>
        <v/>
      </c>
      <c r="FY780" s="1854" t="str">
        <f t="shared" si="161"/>
        <v/>
      </c>
      <c r="FZ780" s="1854" t="str">
        <f t="shared" si="162"/>
        <v/>
      </c>
      <c r="GA780" s="1854" t="str">
        <f t="shared" si="163"/>
        <v/>
      </c>
      <c r="GB780" s="1854" t="str">
        <f t="shared" si="164"/>
        <v/>
      </c>
      <c r="GC780" s="1854" t="str">
        <f t="shared" si="165"/>
        <v/>
      </c>
      <c r="GD780" s="1854" t="str">
        <f t="shared" si="166"/>
        <v/>
      </c>
      <c r="GE780" s="1854" t="str">
        <f t="shared" si="167"/>
        <v/>
      </c>
      <c r="GF780" s="1854" t="str">
        <f t="shared" si="168"/>
        <v/>
      </c>
      <c r="GG780" s="1854" t="str">
        <f t="shared" si="169"/>
        <v/>
      </c>
      <c r="GH780" s="1854" t="str">
        <f t="shared" si="170"/>
        <v/>
      </c>
      <c r="GI780" s="1854" t="str">
        <f t="shared" si="171"/>
        <v/>
      </c>
      <c r="GJ780" s="1854" t="str">
        <f t="shared" si="172"/>
        <v/>
      </c>
      <c r="GK780" s="1854" t="str">
        <f t="shared" si="173"/>
        <v/>
      </c>
      <c r="GL780" s="1854" t="str">
        <f t="shared" si="174"/>
        <v/>
      </c>
      <c r="GM780" s="1854" t="str">
        <f t="shared" si="175"/>
        <v/>
      </c>
      <c r="GN780" s="1854" t="str">
        <f t="shared" si="176"/>
        <v/>
      </c>
      <c r="GO780" s="1854" t="str">
        <f t="shared" si="177"/>
        <v/>
      </c>
      <c r="GP780" s="1854" t="str">
        <f t="shared" si="178"/>
        <v/>
      </c>
      <c r="GQ780" s="1854" t="str">
        <f t="shared" si="179"/>
        <v/>
      </c>
      <c r="GR780" s="1854" t="str">
        <f t="shared" si="180"/>
        <v/>
      </c>
      <c r="GS780" s="1854" t="str">
        <f t="shared" si="181"/>
        <v/>
      </c>
      <c r="GT780" s="1854" t="str">
        <f t="shared" si="182"/>
        <v/>
      </c>
      <c r="GU780" s="1854" t="str">
        <f t="shared" si="183"/>
        <v/>
      </c>
      <c r="GV780" s="1854" t="str">
        <f t="shared" si="184"/>
        <v/>
      </c>
      <c r="GW780" s="1854" t="str">
        <f t="shared" si="185"/>
        <v/>
      </c>
      <c r="GX780" s="1854" t="str">
        <f t="shared" si="186"/>
        <v/>
      </c>
      <c r="GY780" s="1854" t="str">
        <f t="shared" si="187"/>
        <v/>
      </c>
      <c r="GZ780" s="1854" t="str">
        <f t="shared" si="188"/>
        <v/>
      </c>
      <c r="HA780" s="1854" t="str">
        <f t="shared" si="189"/>
        <v/>
      </c>
      <c r="HB780" s="1854" t="str">
        <f t="shared" si="190"/>
        <v/>
      </c>
      <c r="HC780" s="1854" t="str">
        <f t="shared" si="191"/>
        <v/>
      </c>
      <c r="HD780" s="1854" t="str">
        <f t="shared" si="192"/>
        <v/>
      </c>
      <c r="HE780" s="1854" t="str">
        <f t="shared" si="193"/>
        <v/>
      </c>
      <c r="HF780" s="1854" t="str">
        <f t="shared" si="194"/>
        <v/>
      </c>
      <c r="HG780" s="1854" t="str">
        <f t="shared" si="195"/>
        <v/>
      </c>
      <c r="HH780" s="1854" t="str">
        <f t="shared" si="196"/>
        <v/>
      </c>
      <c r="HI780" s="1854" t="str">
        <f t="shared" si="197"/>
        <v/>
      </c>
      <c r="HJ780" s="1854" t="str">
        <f t="shared" si="198"/>
        <v/>
      </c>
      <c r="HK780" s="1854" t="str">
        <f t="shared" si="199"/>
        <v/>
      </c>
      <c r="HL780" s="1854" t="str">
        <f t="shared" si="200"/>
        <v/>
      </c>
      <c r="HM780" s="1854" t="str">
        <f t="shared" si="201"/>
        <v/>
      </c>
      <c r="HN780" s="1854" t="str">
        <f t="shared" si="202"/>
        <v/>
      </c>
      <c r="HO780" s="1854" t="str">
        <f t="shared" si="203"/>
        <v/>
      </c>
      <c r="HP780" s="1854" t="str">
        <f t="shared" si="204"/>
        <v/>
      </c>
      <c r="HQ780" s="1854" t="str">
        <f t="shared" si="205"/>
        <v/>
      </c>
      <c r="HR780" s="1854" t="str">
        <f t="shared" si="206"/>
        <v/>
      </c>
      <c r="HS780" s="1854" t="str">
        <f t="shared" si="207"/>
        <v/>
      </c>
      <c r="HT780" s="1854" t="str">
        <f t="shared" si="208"/>
        <v/>
      </c>
      <c r="HU780" s="1854" t="str">
        <f t="shared" si="209"/>
        <v/>
      </c>
      <c r="HV780" s="1854" t="str">
        <f t="shared" si="210"/>
        <v/>
      </c>
      <c r="HW780" s="1854" t="str">
        <f t="shared" si="211"/>
        <v/>
      </c>
      <c r="HX780" s="1854" t="str">
        <f t="shared" si="212"/>
        <v/>
      </c>
      <c r="HY780" s="1854" t="str">
        <f t="shared" si="213"/>
        <v/>
      </c>
      <c r="HZ780" s="1854" t="str">
        <f t="shared" si="214"/>
        <v/>
      </c>
      <c r="IA780" s="1854" t="str">
        <f t="shared" si="215"/>
        <v/>
      </c>
      <c r="IB780" s="1854" t="str">
        <f t="shared" si="216"/>
        <v/>
      </c>
      <c r="IC780" s="1854" t="str">
        <f t="shared" si="217"/>
        <v/>
      </c>
      <c r="ID780" s="1826" t="str">
        <f t="shared" si="218"/>
        <v/>
      </c>
      <c r="IE780" s="1826" t="str">
        <f t="shared" si="219"/>
        <v/>
      </c>
      <c r="IF780" s="1826" t="str">
        <f t="shared" si="220"/>
        <v/>
      </c>
      <c r="IG780" s="1826" t="str">
        <f t="shared" si="221"/>
        <v/>
      </c>
      <c r="IH780" s="1826"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1824">
        <f t="shared" si="243"/>
        <v>0</v>
      </c>
      <c r="JD780" s="1824">
        <f t="shared" si="244"/>
        <v>0</v>
      </c>
      <c r="JE780" s="1824">
        <f t="shared" si="245"/>
        <v>0</v>
      </c>
      <c r="JF780" s="1824">
        <f t="shared" si="246"/>
        <v>0</v>
      </c>
      <c r="JG780" s="1824">
        <f t="shared" si="247"/>
        <v>0</v>
      </c>
      <c r="JH780" s="1824">
        <f t="shared" si="248"/>
        <v>0</v>
      </c>
      <c r="JI780" s="1824">
        <f t="shared" si="249"/>
        <v>0</v>
      </c>
      <c r="JJ780" s="1824">
        <f t="shared" si="250"/>
        <v>0</v>
      </c>
      <c r="JK780" s="1824">
        <f t="shared" si="251"/>
        <v>0</v>
      </c>
      <c r="JL780" s="1824">
        <f t="shared" si="252"/>
        <v>0</v>
      </c>
      <c r="JM780" s="1824">
        <f t="shared" si="253"/>
        <v>0</v>
      </c>
      <c r="JN780" s="1824">
        <f t="shared" si="254"/>
        <v>0</v>
      </c>
      <c r="JO780" s="1824">
        <f t="shared" si="255"/>
        <v>0</v>
      </c>
      <c r="JP780" s="1824">
        <f t="shared" si="256"/>
        <v>0</v>
      </c>
      <c r="JQ780" s="1824">
        <f t="shared" si="257"/>
        <v>0</v>
      </c>
    </row>
    <row r="781" spans="1:277" ht="12" customHeight="1">
      <c r="A781" s="1837" t="str">
        <f t="shared" si="0"/>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1"/>
        <v>0</v>
      </c>
      <c r="L781" s="1851">
        <f t="shared" si="2"/>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1854" t="str">
        <f t="shared" si="133"/>
        <v/>
      </c>
      <c r="EX781" s="1854" t="str">
        <f t="shared" si="134"/>
        <v/>
      </c>
      <c r="EY781" s="1854" t="str">
        <f t="shared" si="135"/>
        <v/>
      </c>
      <c r="EZ781" s="1854" t="str">
        <f t="shared" si="136"/>
        <v/>
      </c>
      <c r="FA781" s="1854" t="str">
        <f t="shared" si="137"/>
        <v/>
      </c>
      <c r="FB781" s="1854" t="str">
        <f t="shared" si="138"/>
        <v/>
      </c>
      <c r="FC781" s="1854" t="str">
        <f t="shared" si="139"/>
        <v/>
      </c>
      <c r="FD781" s="1854" t="str">
        <f t="shared" si="140"/>
        <v/>
      </c>
      <c r="FE781" s="1854" t="str">
        <f t="shared" si="141"/>
        <v/>
      </c>
      <c r="FF781" s="1854" t="str">
        <f t="shared" si="142"/>
        <v/>
      </c>
      <c r="FG781" s="1854" t="str">
        <f t="shared" si="143"/>
        <v/>
      </c>
      <c r="FH781" s="1854" t="str">
        <f t="shared" si="144"/>
        <v/>
      </c>
      <c r="FI781" s="1854" t="str">
        <f t="shared" si="145"/>
        <v/>
      </c>
      <c r="FJ781" s="1854" t="str">
        <f t="shared" si="146"/>
        <v/>
      </c>
      <c r="FK781" s="1854" t="str">
        <f t="shared" si="147"/>
        <v/>
      </c>
      <c r="FL781" s="1854" t="str">
        <f t="shared" si="148"/>
        <v/>
      </c>
      <c r="FM781" s="1854" t="str">
        <f t="shared" si="149"/>
        <v/>
      </c>
      <c r="FN781" s="1854" t="str">
        <f t="shared" si="150"/>
        <v/>
      </c>
      <c r="FO781" s="1854" t="str">
        <f t="shared" si="151"/>
        <v/>
      </c>
      <c r="FP781" s="1854" t="str">
        <f t="shared" si="152"/>
        <v/>
      </c>
      <c r="FQ781" s="1854" t="str">
        <f t="shared" si="153"/>
        <v/>
      </c>
      <c r="FR781" s="1854" t="str">
        <f t="shared" si="154"/>
        <v/>
      </c>
      <c r="FS781" s="1854" t="str">
        <f t="shared" si="155"/>
        <v/>
      </c>
      <c r="FT781" s="1854" t="str">
        <f t="shared" si="156"/>
        <v/>
      </c>
      <c r="FU781" s="1854" t="str">
        <f t="shared" si="157"/>
        <v/>
      </c>
      <c r="FV781" s="1854" t="str">
        <f t="shared" si="158"/>
        <v/>
      </c>
      <c r="FW781" s="1854" t="str">
        <f t="shared" si="159"/>
        <v/>
      </c>
      <c r="FX781" s="1854" t="str">
        <f t="shared" si="160"/>
        <v/>
      </c>
      <c r="FY781" s="1854" t="str">
        <f t="shared" si="161"/>
        <v/>
      </c>
      <c r="FZ781" s="1854" t="str">
        <f t="shared" si="162"/>
        <v/>
      </c>
      <c r="GA781" s="1854" t="str">
        <f t="shared" si="163"/>
        <v/>
      </c>
      <c r="GB781" s="1854" t="str">
        <f t="shared" si="164"/>
        <v/>
      </c>
      <c r="GC781" s="1854" t="str">
        <f t="shared" si="165"/>
        <v/>
      </c>
      <c r="GD781" s="1854" t="str">
        <f t="shared" si="166"/>
        <v/>
      </c>
      <c r="GE781" s="1854" t="str">
        <f t="shared" si="167"/>
        <v/>
      </c>
      <c r="GF781" s="1854" t="str">
        <f t="shared" si="168"/>
        <v/>
      </c>
      <c r="GG781" s="1854" t="str">
        <f t="shared" si="169"/>
        <v/>
      </c>
      <c r="GH781" s="1854" t="str">
        <f t="shared" si="170"/>
        <v/>
      </c>
      <c r="GI781" s="1854" t="str">
        <f t="shared" si="171"/>
        <v/>
      </c>
      <c r="GJ781" s="1854" t="str">
        <f t="shared" si="172"/>
        <v/>
      </c>
      <c r="GK781" s="1854" t="str">
        <f t="shared" si="173"/>
        <v/>
      </c>
      <c r="GL781" s="1854" t="str">
        <f t="shared" si="174"/>
        <v/>
      </c>
      <c r="GM781" s="1854" t="str">
        <f t="shared" si="175"/>
        <v/>
      </c>
      <c r="GN781" s="1854" t="str">
        <f t="shared" si="176"/>
        <v/>
      </c>
      <c r="GO781" s="1854" t="str">
        <f t="shared" si="177"/>
        <v/>
      </c>
      <c r="GP781" s="1854" t="str">
        <f t="shared" si="178"/>
        <v/>
      </c>
      <c r="GQ781" s="1854" t="str">
        <f t="shared" si="179"/>
        <v/>
      </c>
      <c r="GR781" s="1854" t="str">
        <f t="shared" si="180"/>
        <v/>
      </c>
      <c r="GS781" s="1854" t="str">
        <f t="shared" si="181"/>
        <v/>
      </c>
      <c r="GT781" s="1854" t="str">
        <f t="shared" si="182"/>
        <v/>
      </c>
      <c r="GU781" s="1854" t="str">
        <f t="shared" si="183"/>
        <v/>
      </c>
      <c r="GV781" s="1854" t="str">
        <f t="shared" si="184"/>
        <v/>
      </c>
      <c r="GW781" s="1854" t="str">
        <f t="shared" si="185"/>
        <v/>
      </c>
      <c r="GX781" s="1854" t="str">
        <f t="shared" si="186"/>
        <v/>
      </c>
      <c r="GY781" s="1854" t="str">
        <f t="shared" si="187"/>
        <v/>
      </c>
      <c r="GZ781" s="1854" t="str">
        <f t="shared" si="188"/>
        <v/>
      </c>
      <c r="HA781" s="1854" t="str">
        <f t="shared" si="189"/>
        <v/>
      </c>
      <c r="HB781" s="1854" t="str">
        <f t="shared" si="190"/>
        <v/>
      </c>
      <c r="HC781" s="1854" t="str">
        <f t="shared" si="191"/>
        <v/>
      </c>
      <c r="HD781" s="1854" t="str">
        <f t="shared" si="192"/>
        <v/>
      </c>
      <c r="HE781" s="1854" t="str">
        <f t="shared" si="193"/>
        <v/>
      </c>
      <c r="HF781" s="1854" t="str">
        <f t="shared" si="194"/>
        <v/>
      </c>
      <c r="HG781" s="1854" t="str">
        <f t="shared" si="195"/>
        <v/>
      </c>
      <c r="HH781" s="1854" t="str">
        <f t="shared" si="196"/>
        <v/>
      </c>
      <c r="HI781" s="1854" t="str">
        <f t="shared" si="197"/>
        <v/>
      </c>
      <c r="HJ781" s="1854" t="str">
        <f t="shared" si="198"/>
        <v/>
      </c>
      <c r="HK781" s="1854" t="str">
        <f t="shared" si="199"/>
        <v/>
      </c>
      <c r="HL781" s="1854" t="str">
        <f t="shared" si="200"/>
        <v/>
      </c>
      <c r="HM781" s="1854" t="str">
        <f t="shared" si="201"/>
        <v/>
      </c>
      <c r="HN781" s="1854" t="str">
        <f t="shared" si="202"/>
        <v/>
      </c>
      <c r="HO781" s="1854" t="str">
        <f t="shared" si="203"/>
        <v/>
      </c>
      <c r="HP781" s="1854" t="str">
        <f t="shared" si="204"/>
        <v/>
      </c>
      <c r="HQ781" s="1854" t="str">
        <f t="shared" si="205"/>
        <v/>
      </c>
      <c r="HR781" s="1854" t="str">
        <f t="shared" si="206"/>
        <v/>
      </c>
      <c r="HS781" s="1854" t="str">
        <f t="shared" si="207"/>
        <v/>
      </c>
      <c r="HT781" s="1854" t="str">
        <f t="shared" si="208"/>
        <v/>
      </c>
      <c r="HU781" s="1854" t="str">
        <f t="shared" si="209"/>
        <v/>
      </c>
      <c r="HV781" s="1854" t="str">
        <f t="shared" si="210"/>
        <v/>
      </c>
      <c r="HW781" s="1854" t="str">
        <f t="shared" si="211"/>
        <v/>
      </c>
      <c r="HX781" s="1854" t="str">
        <f t="shared" si="212"/>
        <v/>
      </c>
      <c r="HY781" s="1854" t="str">
        <f t="shared" si="213"/>
        <v/>
      </c>
      <c r="HZ781" s="1854" t="str">
        <f t="shared" si="214"/>
        <v/>
      </c>
      <c r="IA781" s="1854" t="str">
        <f t="shared" si="215"/>
        <v/>
      </c>
      <c r="IB781" s="1854" t="str">
        <f t="shared" si="216"/>
        <v/>
      </c>
      <c r="IC781" s="1854" t="str">
        <f t="shared" si="217"/>
        <v/>
      </c>
      <c r="ID781" s="1826" t="str">
        <f t="shared" si="218"/>
        <v/>
      </c>
      <c r="IE781" s="1826" t="str">
        <f t="shared" si="219"/>
        <v/>
      </c>
      <c r="IF781" s="1826" t="str">
        <f t="shared" si="220"/>
        <v/>
      </c>
      <c r="IG781" s="1826" t="str">
        <f t="shared" si="221"/>
        <v/>
      </c>
      <c r="IH781" s="1826"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1824">
        <f t="shared" si="243"/>
        <v>0</v>
      </c>
      <c r="JD781" s="1824">
        <f t="shared" si="244"/>
        <v>0</v>
      </c>
      <c r="JE781" s="1824">
        <f t="shared" si="245"/>
        <v>0</v>
      </c>
      <c r="JF781" s="1824">
        <f t="shared" si="246"/>
        <v>0</v>
      </c>
      <c r="JG781" s="1824">
        <f t="shared" si="247"/>
        <v>0</v>
      </c>
      <c r="JH781" s="1824">
        <f t="shared" si="248"/>
        <v>0</v>
      </c>
      <c r="JI781" s="1824">
        <f t="shared" si="249"/>
        <v>0</v>
      </c>
      <c r="JJ781" s="1824">
        <f t="shared" si="250"/>
        <v>0</v>
      </c>
      <c r="JK781" s="1824">
        <f t="shared" si="251"/>
        <v>0</v>
      </c>
      <c r="JL781" s="1824">
        <f t="shared" si="252"/>
        <v>0</v>
      </c>
      <c r="JM781" s="1824">
        <f t="shared" si="253"/>
        <v>0</v>
      </c>
      <c r="JN781" s="1824">
        <f t="shared" si="254"/>
        <v>0</v>
      </c>
      <c r="JO781" s="1824">
        <f t="shared" si="255"/>
        <v>0</v>
      </c>
      <c r="JP781" s="1824">
        <f t="shared" si="256"/>
        <v>0</v>
      </c>
      <c r="JQ781" s="1824">
        <f t="shared" si="257"/>
        <v>0</v>
      </c>
    </row>
    <row r="782" spans="1:277" ht="12" customHeight="1">
      <c r="A782" s="1837" t="str">
        <f t="shared" si="0"/>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1"/>
        <v>0</v>
      </c>
      <c r="L782" s="1851">
        <f t="shared" si="2"/>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1854" t="str">
        <f t="shared" si="133"/>
        <v/>
      </c>
      <c r="EX782" s="1854" t="str">
        <f t="shared" si="134"/>
        <v/>
      </c>
      <c r="EY782" s="1854" t="str">
        <f t="shared" si="135"/>
        <v/>
      </c>
      <c r="EZ782" s="1854" t="str">
        <f t="shared" si="136"/>
        <v/>
      </c>
      <c r="FA782" s="1854" t="str">
        <f t="shared" si="137"/>
        <v/>
      </c>
      <c r="FB782" s="1854" t="str">
        <f t="shared" si="138"/>
        <v/>
      </c>
      <c r="FC782" s="1854" t="str">
        <f t="shared" si="139"/>
        <v/>
      </c>
      <c r="FD782" s="1854" t="str">
        <f t="shared" si="140"/>
        <v/>
      </c>
      <c r="FE782" s="1854" t="str">
        <f t="shared" si="141"/>
        <v/>
      </c>
      <c r="FF782" s="1854" t="str">
        <f t="shared" si="142"/>
        <v/>
      </c>
      <c r="FG782" s="1854" t="str">
        <f t="shared" si="143"/>
        <v/>
      </c>
      <c r="FH782" s="1854" t="str">
        <f t="shared" si="144"/>
        <v/>
      </c>
      <c r="FI782" s="1854" t="str">
        <f t="shared" si="145"/>
        <v/>
      </c>
      <c r="FJ782" s="1854" t="str">
        <f t="shared" si="146"/>
        <v/>
      </c>
      <c r="FK782" s="1854" t="str">
        <f t="shared" si="147"/>
        <v/>
      </c>
      <c r="FL782" s="1854" t="str">
        <f t="shared" si="148"/>
        <v/>
      </c>
      <c r="FM782" s="1854" t="str">
        <f t="shared" si="149"/>
        <v/>
      </c>
      <c r="FN782" s="1854" t="str">
        <f t="shared" si="150"/>
        <v/>
      </c>
      <c r="FO782" s="1854" t="str">
        <f t="shared" si="151"/>
        <v/>
      </c>
      <c r="FP782" s="1854" t="str">
        <f t="shared" si="152"/>
        <v/>
      </c>
      <c r="FQ782" s="1854" t="str">
        <f t="shared" si="153"/>
        <v/>
      </c>
      <c r="FR782" s="1854" t="str">
        <f t="shared" si="154"/>
        <v/>
      </c>
      <c r="FS782" s="1854" t="str">
        <f t="shared" si="155"/>
        <v/>
      </c>
      <c r="FT782" s="1854" t="str">
        <f t="shared" si="156"/>
        <v/>
      </c>
      <c r="FU782" s="1854" t="str">
        <f t="shared" si="157"/>
        <v/>
      </c>
      <c r="FV782" s="1854" t="str">
        <f t="shared" si="158"/>
        <v/>
      </c>
      <c r="FW782" s="1854" t="str">
        <f t="shared" si="159"/>
        <v/>
      </c>
      <c r="FX782" s="1854" t="str">
        <f t="shared" si="160"/>
        <v/>
      </c>
      <c r="FY782" s="1854" t="str">
        <f t="shared" si="161"/>
        <v/>
      </c>
      <c r="FZ782" s="1854" t="str">
        <f t="shared" si="162"/>
        <v/>
      </c>
      <c r="GA782" s="1854" t="str">
        <f t="shared" si="163"/>
        <v/>
      </c>
      <c r="GB782" s="1854" t="str">
        <f t="shared" si="164"/>
        <v/>
      </c>
      <c r="GC782" s="1854" t="str">
        <f t="shared" si="165"/>
        <v/>
      </c>
      <c r="GD782" s="1854" t="str">
        <f t="shared" si="166"/>
        <v/>
      </c>
      <c r="GE782" s="1854" t="str">
        <f t="shared" si="167"/>
        <v/>
      </c>
      <c r="GF782" s="1854" t="str">
        <f t="shared" si="168"/>
        <v/>
      </c>
      <c r="GG782" s="1854" t="str">
        <f t="shared" si="169"/>
        <v/>
      </c>
      <c r="GH782" s="1854" t="str">
        <f t="shared" si="170"/>
        <v/>
      </c>
      <c r="GI782" s="1854" t="str">
        <f t="shared" si="171"/>
        <v/>
      </c>
      <c r="GJ782" s="1854" t="str">
        <f t="shared" si="172"/>
        <v/>
      </c>
      <c r="GK782" s="1854" t="str">
        <f t="shared" si="173"/>
        <v/>
      </c>
      <c r="GL782" s="1854" t="str">
        <f t="shared" si="174"/>
        <v/>
      </c>
      <c r="GM782" s="1854" t="str">
        <f t="shared" si="175"/>
        <v/>
      </c>
      <c r="GN782" s="1854" t="str">
        <f t="shared" si="176"/>
        <v/>
      </c>
      <c r="GO782" s="1854" t="str">
        <f t="shared" si="177"/>
        <v/>
      </c>
      <c r="GP782" s="1854" t="str">
        <f t="shared" si="178"/>
        <v/>
      </c>
      <c r="GQ782" s="1854" t="str">
        <f t="shared" si="179"/>
        <v/>
      </c>
      <c r="GR782" s="1854" t="str">
        <f t="shared" si="180"/>
        <v/>
      </c>
      <c r="GS782" s="1854" t="str">
        <f t="shared" si="181"/>
        <v/>
      </c>
      <c r="GT782" s="1854" t="str">
        <f t="shared" si="182"/>
        <v/>
      </c>
      <c r="GU782" s="1854" t="str">
        <f t="shared" si="183"/>
        <v/>
      </c>
      <c r="GV782" s="1854" t="str">
        <f t="shared" si="184"/>
        <v/>
      </c>
      <c r="GW782" s="1854" t="str">
        <f t="shared" si="185"/>
        <v/>
      </c>
      <c r="GX782" s="1854" t="str">
        <f t="shared" si="186"/>
        <v/>
      </c>
      <c r="GY782" s="1854" t="str">
        <f t="shared" si="187"/>
        <v/>
      </c>
      <c r="GZ782" s="1854" t="str">
        <f t="shared" si="188"/>
        <v/>
      </c>
      <c r="HA782" s="1854" t="str">
        <f t="shared" si="189"/>
        <v/>
      </c>
      <c r="HB782" s="1854" t="str">
        <f t="shared" si="190"/>
        <v/>
      </c>
      <c r="HC782" s="1854" t="str">
        <f t="shared" si="191"/>
        <v/>
      </c>
      <c r="HD782" s="1854" t="str">
        <f t="shared" si="192"/>
        <v/>
      </c>
      <c r="HE782" s="1854" t="str">
        <f t="shared" si="193"/>
        <v/>
      </c>
      <c r="HF782" s="1854" t="str">
        <f t="shared" si="194"/>
        <v/>
      </c>
      <c r="HG782" s="1854" t="str">
        <f t="shared" si="195"/>
        <v/>
      </c>
      <c r="HH782" s="1854" t="str">
        <f t="shared" si="196"/>
        <v/>
      </c>
      <c r="HI782" s="1854" t="str">
        <f t="shared" si="197"/>
        <v/>
      </c>
      <c r="HJ782" s="1854" t="str">
        <f t="shared" si="198"/>
        <v/>
      </c>
      <c r="HK782" s="1854" t="str">
        <f t="shared" si="199"/>
        <v/>
      </c>
      <c r="HL782" s="1854" t="str">
        <f t="shared" si="200"/>
        <v/>
      </c>
      <c r="HM782" s="1854" t="str">
        <f t="shared" si="201"/>
        <v/>
      </c>
      <c r="HN782" s="1854" t="str">
        <f t="shared" si="202"/>
        <v/>
      </c>
      <c r="HO782" s="1854" t="str">
        <f t="shared" si="203"/>
        <v/>
      </c>
      <c r="HP782" s="1854" t="str">
        <f t="shared" si="204"/>
        <v/>
      </c>
      <c r="HQ782" s="1854" t="str">
        <f t="shared" si="205"/>
        <v/>
      </c>
      <c r="HR782" s="1854" t="str">
        <f t="shared" si="206"/>
        <v/>
      </c>
      <c r="HS782" s="1854" t="str">
        <f t="shared" si="207"/>
        <v/>
      </c>
      <c r="HT782" s="1854" t="str">
        <f t="shared" si="208"/>
        <v/>
      </c>
      <c r="HU782" s="1854" t="str">
        <f t="shared" si="209"/>
        <v/>
      </c>
      <c r="HV782" s="1854" t="str">
        <f t="shared" si="210"/>
        <v/>
      </c>
      <c r="HW782" s="1854" t="str">
        <f t="shared" si="211"/>
        <v/>
      </c>
      <c r="HX782" s="1854" t="str">
        <f t="shared" si="212"/>
        <v/>
      </c>
      <c r="HY782" s="1854" t="str">
        <f t="shared" si="213"/>
        <v/>
      </c>
      <c r="HZ782" s="1854" t="str">
        <f t="shared" si="214"/>
        <v/>
      </c>
      <c r="IA782" s="1854" t="str">
        <f t="shared" si="215"/>
        <v/>
      </c>
      <c r="IB782" s="1854" t="str">
        <f t="shared" si="216"/>
        <v/>
      </c>
      <c r="IC782" s="1854" t="str">
        <f t="shared" si="217"/>
        <v/>
      </c>
      <c r="ID782" s="1826" t="str">
        <f t="shared" si="218"/>
        <v/>
      </c>
      <c r="IE782" s="1826" t="str">
        <f t="shared" si="219"/>
        <v/>
      </c>
      <c r="IF782" s="1826" t="str">
        <f t="shared" si="220"/>
        <v/>
      </c>
      <c r="IG782" s="1826" t="str">
        <f t="shared" si="221"/>
        <v/>
      </c>
      <c r="IH782" s="1826"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1824">
        <f t="shared" si="243"/>
        <v>0</v>
      </c>
      <c r="JD782" s="1824">
        <f t="shared" si="244"/>
        <v>0</v>
      </c>
      <c r="JE782" s="1824">
        <f t="shared" si="245"/>
        <v>0</v>
      </c>
      <c r="JF782" s="1824">
        <f t="shared" si="246"/>
        <v>0</v>
      </c>
      <c r="JG782" s="1824">
        <f t="shared" si="247"/>
        <v>0</v>
      </c>
      <c r="JH782" s="1824">
        <f t="shared" si="248"/>
        <v>0</v>
      </c>
      <c r="JI782" s="1824">
        <f t="shared" si="249"/>
        <v>0</v>
      </c>
      <c r="JJ782" s="1824">
        <f t="shared" si="250"/>
        <v>0</v>
      </c>
      <c r="JK782" s="1824">
        <f t="shared" si="251"/>
        <v>0</v>
      </c>
      <c r="JL782" s="1824">
        <f t="shared" si="252"/>
        <v>0</v>
      </c>
      <c r="JM782" s="1824">
        <f t="shared" si="253"/>
        <v>0</v>
      </c>
      <c r="JN782" s="1824">
        <f t="shared" si="254"/>
        <v>0</v>
      </c>
      <c r="JO782" s="1824">
        <f t="shared" si="255"/>
        <v>0</v>
      </c>
      <c r="JP782" s="1824">
        <f t="shared" si="256"/>
        <v>0</v>
      </c>
      <c r="JQ782" s="1824">
        <f t="shared" si="257"/>
        <v>0</v>
      </c>
    </row>
    <row r="783" spans="1:277" ht="12" customHeight="1">
      <c r="A783" s="1837" t="str">
        <f t="shared" si="0"/>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1"/>
        <v>0</v>
      </c>
      <c r="L783" s="1851">
        <f t="shared" si="2"/>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1854" t="str">
        <f t="shared" si="133"/>
        <v/>
      </c>
      <c r="EX783" s="1854" t="str">
        <f t="shared" si="134"/>
        <v/>
      </c>
      <c r="EY783" s="1854" t="str">
        <f t="shared" si="135"/>
        <v/>
      </c>
      <c r="EZ783" s="1854" t="str">
        <f t="shared" si="136"/>
        <v/>
      </c>
      <c r="FA783" s="1854" t="str">
        <f t="shared" si="137"/>
        <v/>
      </c>
      <c r="FB783" s="1854" t="str">
        <f t="shared" si="138"/>
        <v/>
      </c>
      <c r="FC783" s="1854" t="str">
        <f t="shared" si="139"/>
        <v/>
      </c>
      <c r="FD783" s="1854" t="str">
        <f t="shared" si="140"/>
        <v/>
      </c>
      <c r="FE783" s="1854" t="str">
        <f t="shared" si="141"/>
        <v/>
      </c>
      <c r="FF783" s="1854" t="str">
        <f t="shared" si="142"/>
        <v/>
      </c>
      <c r="FG783" s="1854" t="str">
        <f t="shared" si="143"/>
        <v/>
      </c>
      <c r="FH783" s="1854" t="str">
        <f t="shared" si="144"/>
        <v/>
      </c>
      <c r="FI783" s="1854" t="str">
        <f t="shared" si="145"/>
        <v/>
      </c>
      <c r="FJ783" s="1854" t="str">
        <f t="shared" si="146"/>
        <v/>
      </c>
      <c r="FK783" s="1854" t="str">
        <f t="shared" si="147"/>
        <v/>
      </c>
      <c r="FL783" s="1854" t="str">
        <f t="shared" si="148"/>
        <v/>
      </c>
      <c r="FM783" s="1854" t="str">
        <f t="shared" si="149"/>
        <v/>
      </c>
      <c r="FN783" s="1854" t="str">
        <f t="shared" si="150"/>
        <v/>
      </c>
      <c r="FO783" s="1854" t="str">
        <f t="shared" si="151"/>
        <v/>
      </c>
      <c r="FP783" s="1854" t="str">
        <f t="shared" si="152"/>
        <v/>
      </c>
      <c r="FQ783" s="1854" t="str">
        <f t="shared" si="153"/>
        <v/>
      </c>
      <c r="FR783" s="1854" t="str">
        <f t="shared" si="154"/>
        <v/>
      </c>
      <c r="FS783" s="1854" t="str">
        <f t="shared" si="155"/>
        <v/>
      </c>
      <c r="FT783" s="1854" t="str">
        <f t="shared" si="156"/>
        <v/>
      </c>
      <c r="FU783" s="1854" t="str">
        <f t="shared" si="157"/>
        <v/>
      </c>
      <c r="FV783" s="1854" t="str">
        <f t="shared" si="158"/>
        <v/>
      </c>
      <c r="FW783" s="1854" t="str">
        <f t="shared" si="159"/>
        <v/>
      </c>
      <c r="FX783" s="1854" t="str">
        <f t="shared" si="160"/>
        <v/>
      </c>
      <c r="FY783" s="1854" t="str">
        <f t="shared" si="161"/>
        <v/>
      </c>
      <c r="FZ783" s="1854" t="str">
        <f t="shared" si="162"/>
        <v/>
      </c>
      <c r="GA783" s="1854" t="str">
        <f t="shared" si="163"/>
        <v/>
      </c>
      <c r="GB783" s="1854" t="str">
        <f t="shared" si="164"/>
        <v/>
      </c>
      <c r="GC783" s="1854" t="str">
        <f t="shared" si="165"/>
        <v/>
      </c>
      <c r="GD783" s="1854" t="str">
        <f t="shared" si="166"/>
        <v/>
      </c>
      <c r="GE783" s="1854" t="str">
        <f t="shared" si="167"/>
        <v/>
      </c>
      <c r="GF783" s="1854" t="str">
        <f t="shared" si="168"/>
        <v/>
      </c>
      <c r="GG783" s="1854" t="str">
        <f t="shared" si="169"/>
        <v/>
      </c>
      <c r="GH783" s="1854" t="str">
        <f t="shared" si="170"/>
        <v/>
      </c>
      <c r="GI783" s="1854" t="str">
        <f t="shared" si="171"/>
        <v/>
      </c>
      <c r="GJ783" s="1854" t="str">
        <f t="shared" si="172"/>
        <v/>
      </c>
      <c r="GK783" s="1854" t="str">
        <f t="shared" si="173"/>
        <v/>
      </c>
      <c r="GL783" s="1854" t="str">
        <f t="shared" si="174"/>
        <v/>
      </c>
      <c r="GM783" s="1854" t="str">
        <f t="shared" si="175"/>
        <v/>
      </c>
      <c r="GN783" s="1854" t="str">
        <f t="shared" si="176"/>
        <v/>
      </c>
      <c r="GO783" s="1854" t="str">
        <f t="shared" si="177"/>
        <v/>
      </c>
      <c r="GP783" s="1854" t="str">
        <f t="shared" si="178"/>
        <v/>
      </c>
      <c r="GQ783" s="1854" t="str">
        <f t="shared" si="179"/>
        <v/>
      </c>
      <c r="GR783" s="1854" t="str">
        <f t="shared" si="180"/>
        <v/>
      </c>
      <c r="GS783" s="1854" t="str">
        <f t="shared" si="181"/>
        <v/>
      </c>
      <c r="GT783" s="1854" t="str">
        <f t="shared" si="182"/>
        <v/>
      </c>
      <c r="GU783" s="1854" t="str">
        <f t="shared" si="183"/>
        <v/>
      </c>
      <c r="GV783" s="1854" t="str">
        <f t="shared" si="184"/>
        <v/>
      </c>
      <c r="GW783" s="1854" t="str">
        <f t="shared" si="185"/>
        <v/>
      </c>
      <c r="GX783" s="1854" t="str">
        <f t="shared" si="186"/>
        <v/>
      </c>
      <c r="GY783" s="1854" t="str">
        <f t="shared" si="187"/>
        <v/>
      </c>
      <c r="GZ783" s="1854" t="str">
        <f t="shared" si="188"/>
        <v/>
      </c>
      <c r="HA783" s="1854" t="str">
        <f t="shared" si="189"/>
        <v/>
      </c>
      <c r="HB783" s="1854" t="str">
        <f t="shared" si="190"/>
        <v/>
      </c>
      <c r="HC783" s="1854" t="str">
        <f t="shared" si="191"/>
        <v/>
      </c>
      <c r="HD783" s="1854" t="str">
        <f t="shared" si="192"/>
        <v/>
      </c>
      <c r="HE783" s="1854" t="str">
        <f t="shared" si="193"/>
        <v/>
      </c>
      <c r="HF783" s="1854" t="str">
        <f t="shared" si="194"/>
        <v/>
      </c>
      <c r="HG783" s="1854" t="str">
        <f t="shared" si="195"/>
        <v/>
      </c>
      <c r="HH783" s="1854" t="str">
        <f t="shared" si="196"/>
        <v/>
      </c>
      <c r="HI783" s="1854" t="str">
        <f t="shared" si="197"/>
        <v/>
      </c>
      <c r="HJ783" s="1854" t="str">
        <f t="shared" si="198"/>
        <v/>
      </c>
      <c r="HK783" s="1854" t="str">
        <f t="shared" si="199"/>
        <v/>
      </c>
      <c r="HL783" s="1854" t="str">
        <f t="shared" si="200"/>
        <v/>
      </c>
      <c r="HM783" s="1854" t="str">
        <f t="shared" si="201"/>
        <v/>
      </c>
      <c r="HN783" s="1854" t="str">
        <f t="shared" si="202"/>
        <v/>
      </c>
      <c r="HO783" s="1854" t="str">
        <f t="shared" si="203"/>
        <v/>
      </c>
      <c r="HP783" s="1854" t="str">
        <f t="shared" si="204"/>
        <v/>
      </c>
      <c r="HQ783" s="1854" t="str">
        <f t="shared" si="205"/>
        <v/>
      </c>
      <c r="HR783" s="1854" t="str">
        <f t="shared" si="206"/>
        <v/>
      </c>
      <c r="HS783" s="1854" t="str">
        <f t="shared" si="207"/>
        <v/>
      </c>
      <c r="HT783" s="1854" t="str">
        <f t="shared" si="208"/>
        <v/>
      </c>
      <c r="HU783" s="1854" t="str">
        <f t="shared" si="209"/>
        <v/>
      </c>
      <c r="HV783" s="1854" t="str">
        <f t="shared" si="210"/>
        <v/>
      </c>
      <c r="HW783" s="1854" t="str">
        <f t="shared" si="211"/>
        <v/>
      </c>
      <c r="HX783" s="1854" t="str">
        <f t="shared" si="212"/>
        <v/>
      </c>
      <c r="HY783" s="1854" t="str">
        <f t="shared" si="213"/>
        <v/>
      </c>
      <c r="HZ783" s="1854" t="str">
        <f t="shared" si="214"/>
        <v/>
      </c>
      <c r="IA783" s="1854" t="str">
        <f t="shared" si="215"/>
        <v/>
      </c>
      <c r="IB783" s="1854" t="str">
        <f t="shared" si="216"/>
        <v/>
      </c>
      <c r="IC783" s="1854" t="str">
        <f t="shared" si="217"/>
        <v/>
      </c>
      <c r="ID783" s="1826" t="str">
        <f t="shared" si="218"/>
        <v/>
      </c>
      <c r="IE783" s="1826" t="str">
        <f t="shared" si="219"/>
        <v/>
      </c>
      <c r="IF783" s="1826" t="str">
        <f t="shared" si="220"/>
        <v/>
      </c>
      <c r="IG783" s="1826" t="str">
        <f t="shared" si="221"/>
        <v/>
      </c>
      <c r="IH783" s="1826"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1824">
        <f t="shared" si="243"/>
        <v>0</v>
      </c>
      <c r="JD783" s="1824">
        <f t="shared" si="244"/>
        <v>0</v>
      </c>
      <c r="JE783" s="1824">
        <f t="shared" si="245"/>
        <v>0</v>
      </c>
      <c r="JF783" s="1824">
        <f t="shared" si="246"/>
        <v>0</v>
      </c>
      <c r="JG783" s="1824">
        <f t="shared" si="247"/>
        <v>0</v>
      </c>
      <c r="JH783" s="1824">
        <f t="shared" si="248"/>
        <v>0</v>
      </c>
      <c r="JI783" s="1824">
        <f t="shared" si="249"/>
        <v>0</v>
      </c>
      <c r="JJ783" s="1824">
        <f t="shared" si="250"/>
        <v>0</v>
      </c>
      <c r="JK783" s="1824">
        <f t="shared" si="251"/>
        <v>0</v>
      </c>
      <c r="JL783" s="1824">
        <f t="shared" si="252"/>
        <v>0</v>
      </c>
      <c r="JM783" s="1824">
        <f t="shared" si="253"/>
        <v>0</v>
      </c>
      <c r="JN783" s="1824">
        <f t="shared" si="254"/>
        <v>0</v>
      </c>
      <c r="JO783" s="1824">
        <f t="shared" si="255"/>
        <v>0</v>
      </c>
      <c r="JP783" s="1824">
        <f t="shared" si="256"/>
        <v>0</v>
      </c>
      <c r="JQ783" s="1824">
        <f t="shared" si="257"/>
        <v>0</v>
      </c>
    </row>
    <row r="784" spans="1:277" ht="12" customHeight="1">
      <c r="A784" s="1837" t="str">
        <f t="shared" si="0"/>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1"/>
        <v>0</v>
      </c>
      <c r="L784" s="1851">
        <f t="shared" si="2"/>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1854" t="str">
        <f t="shared" si="133"/>
        <v/>
      </c>
      <c r="EX784" s="1854" t="str">
        <f t="shared" si="134"/>
        <v/>
      </c>
      <c r="EY784" s="1854" t="str">
        <f t="shared" si="135"/>
        <v/>
      </c>
      <c r="EZ784" s="1854" t="str">
        <f t="shared" si="136"/>
        <v/>
      </c>
      <c r="FA784" s="1854" t="str">
        <f t="shared" si="137"/>
        <v/>
      </c>
      <c r="FB784" s="1854" t="str">
        <f t="shared" si="138"/>
        <v/>
      </c>
      <c r="FC784" s="1854" t="str">
        <f t="shared" si="139"/>
        <v/>
      </c>
      <c r="FD784" s="1854" t="str">
        <f t="shared" si="140"/>
        <v/>
      </c>
      <c r="FE784" s="1854" t="str">
        <f t="shared" si="141"/>
        <v/>
      </c>
      <c r="FF784" s="1854" t="str">
        <f t="shared" si="142"/>
        <v/>
      </c>
      <c r="FG784" s="1854" t="str">
        <f t="shared" si="143"/>
        <v/>
      </c>
      <c r="FH784" s="1854" t="str">
        <f t="shared" si="144"/>
        <v/>
      </c>
      <c r="FI784" s="1854" t="str">
        <f t="shared" si="145"/>
        <v/>
      </c>
      <c r="FJ784" s="1854" t="str">
        <f t="shared" si="146"/>
        <v/>
      </c>
      <c r="FK784" s="1854" t="str">
        <f t="shared" si="147"/>
        <v/>
      </c>
      <c r="FL784" s="1854" t="str">
        <f t="shared" si="148"/>
        <v/>
      </c>
      <c r="FM784" s="1854" t="str">
        <f t="shared" si="149"/>
        <v/>
      </c>
      <c r="FN784" s="1854" t="str">
        <f t="shared" si="150"/>
        <v/>
      </c>
      <c r="FO784" s="1854" t="str">
        <f t="shared" si="151"/>
        <v/>
      </c>
      <c r="FP784" s="1854" t="str">
        <f t="shared" si="152"/>
        <v/>
      </c>
      <c r="FQ784" s="1854" t="str">
        <f t="shared" si="153"/>
        <v/>
      </c>
      <c r="FR784" s="1854" t="str">
        <f t="shared" si="154"/>
        <v/>
      </c>
      <c r="FS784" s="1854" t="str">
        <f t="shared" si="155"/>
        <v/>
      </c>
      <c r="FT784" s="1854" t="str">
        <f t="shared" si="156"/>
        <v/>
      </c>
      <c r="FU784" s="1854" t="str">
        <f t="shared" si="157"/>
        <v/>
      </c>
      <c r="FV784" s="1854" t="str">
        <f t="shared" si="158"/>
        <v/>
      </c>
      <c r="FW784" s="1854" t="str">
        <f t="shared" si="159"/>
        <v/>
      </c>
      <c r="FX784" s="1854" t="str">
        <f t="shared" si="160"/>
        <v/>
      </c>
      <c r="FY784" s="1854" t="str">
        <f t="shared" si="161"/>
        <v/>
      </c>
      <c r="FZ784" s="1854" t="str">
        <f t="shared" si="162"/>
        <v/>
      </c>
      <c r="GA784" s="1854" t="str">
        <f t="shared" si="163"/>
        <v/>
      </c>
      <c r="GB784" s="1854" t="str">
        <f t="shared" si="164"/>
        <v/>
      </c>
      <c r="GC784" s="1854" t="str">
        <f t="shared" si="165"/>
        <v/>
      </c>
      <c r="GD784" s="1854" t="str">
        <f t="shared" si="166"/>
        <v/>
      </c>
      <c r="GE784" s="1854" t="str">
        <f t="shared" si="167"/>
        <v/>
      </c>
      <c r="GF784" s="1854" t="str">
        <f t="shared" si="168"/>
        <v/>
      </c>
      <c r="GG784" s="1854" t="str">
        <f t="shared" si="169"/>
        <v/>
      </c>
      <c r="GH784" s="1854" t="str">
        <f t="shared" si="170"/>
        <v/>
      </c>
      <c r="GI784" s="1854" t="str">
        <f t="shared" si="171"/>
        <v/>
      </c>
      <c r="GJ784" s="1854" t="str">
        <f t="shared" si="172"/>
        <v/>
      </c>
      <c r="GK784" s="1854" t="str">
        <f t="shared" si="173"/>
        <v/>
      </c>
      <c r="GL784" s="1854" t="str">
        <f t="shared" si="174"/>
        <v/>
      </c>
      <c r="GM784" s="1854" t="str">
        <f t="shared" si="175"/>
        <v/>
      </c>
      <c r="GN784" s="1854" t="str">
        <f t="shared" si="176"/>
        <v/>
      </c>
      <c r="GO784" s="1854" t="str">
        <f t="shared" si="177"/>
        <v/>
      </c>
      <c r="GP784" s="1854" t="str">
        <f t="shared" si="178"/>
        <v/>
      </c>
      <c r="GQ784" s="1854" t="str">
        <f t="shared" si="179"/>
        <v/>
      </c>
      <c r="GR784" s="1854" t="str">
        <f t="shared" si="180"/>
        <v/>
      </c>
      <c r="GS784" s="1854" t="str">
        <f t="shared" si="181"/>
        <v/>
      </c>
      <c r="GT784" s="1854" t="str">
        <f t="shared" si="182"/>
        <v/>
      </c>
      <c r="GU784" s="1854" t="str">
        <f t="shared" si="183"/>
        <v/>
      </c>
      <c r="GV784" s="1854" t="str">
        <f t="shared" si="184"/>
        <v/>
      </c>
      <c r="GW784" s="1854" t="str">
        <f t="shared" si="185"/>
        <v/>
      </c>
      <c r="GX784" s="1854" t="str">
        <f t="shared" si="186"/>
        <v/>
      </c>
      <c r="GY784" s="1854" t="str">
        <f t="shared" si="187"/>
        <v/>
      </c>
      <c r="GZ784" s="1854" t="str">
        <f t="shared" si="188"/>
        <v/>
      </c>
      <c r="HA784" s="1854" t="str">
        <f t="shared" si="189"/>
        <v/>
      </c>
      <c r="HB784" s="1854" t="str">
        <f t="shared" si="190"/>
        <v/>
      </c>
      <c r="HC784" s="1854" t="str">
        <f t="shared" si="191"/>
        <v/>
      </c>
      <c r="HD784" s="1854" t="str">
        <f t="shared" si="192"/>
        <v/>
      </c>
      <c r="HE784" s="1854" t="str">
        <f t="shared" si="193"/>
        <v/>
      </c>
      <c r="HF784" s="1854" t="str">
        <f t="shared" si="194"/>
        <v/>
      </c>
      <c r="HG784" s="1854" t="str">
        <f t="shared" si="195"/>
        <v/>
      </c>
      <c r="HH784" s="1854" t="str">
        <f t="shared" si="196"/>
        <v/>
      </c>
      <c r="HI784" s="1854" t="str">
        <f t="shared" si="197"/>
        <v/>
      </c>
      <c r="HJ784" s="1854" t="str">
        <f t="shared" si="198"/>
        <v/>
      </c>
      <c r="HK784" s="1854" t="str">
        <f t="shared" si="199"/>
        <v/>
      </c>
      <c r="HL784" s="1854" t="str">
        <f t="shared" si="200"/>
        <v/>
      </c>
      <c r="HM784" s="1854" t="str">
        <f t="shared" si="201"/>
        <v/>
      </c>
      <c r="HN784" s="1854" t="str">
        <f t="shared" si="202"/>
        <v/>
      </c>
      <c r="HO784" s="1854" t="str">
        <f t="shared" si="203"/>
        <v/>
      </c>
      <c r="HP784" s="1854" t="str">
        <f t="shared" si="204"/>
        <v/>
      </c>
      <c r="HQ784" s="1854" t="str">
        <f t="shared" si="205"/>
        <v/>
      </c>
      <c r="HR784" s="1854" t="str">
        <f t="shared" si="206"/>
        <v/>
      </c>
      <c r="HS784" s="1854" t="str">
        <f t="shared" si="207"/>
        <v/>
      </c>
      <c r="HT784" s="1854" t="str">
        <f t="shared" si="208"/>
        <v/>
      </c>
      <c r="HU784" s="1854" t="str">
        <f t="shared" si="209"/>
        <v/>
      </c>
      <c r="HV784" s="1854" t="str">
        <f t="shared" si="210"/>
        <v/>
      </c>
      <c r="HW784" s="1854" t="str">
        <f t="shared" si="211"/>
        <v/>
      </c>
      <c r="HX784" s="1854" t="str">
        <f t="shared" si="212"/>
        <v/>
      </c>
      <c r="HY784" s="1854" t="str">
        <f t="shared" si="213"/>
        <v/>
      </c>
      <c r="HZ784" s="1854" t="str">
        <f t="shared" si="214"/>
        <v/>
      </c>
      <c r="IA784" s="1854" t="str">
        <f t="shared" si="215"/>
        <v/>
      </c>
      <c r="IB784" s="1854" t="str">
        <f t="shared" si="216"/>
        <v/>
      </c>
      <c r="IC784" s="1854" t="str">
        <f t="shared" si="217"/>
        <v/>
      </c>
      <c r="ID784" s="1826" t="str">
        <f t="shared" si="218"/>
        <v/>
      </c>
      <c r="IE784" s="1826" t="str">
        <f t="shared" si="219"/>
        <v/>
      </c>
      <c r="IF784" s="1826" t="str">
        <f t="shared" si="220"/>
        <v/>
      </c>
      <c r="IG784" s="1826" t="str">
        <f t="shared" si="221"/>
        <v/>
      </c>
      <c r="IH784" s="1826"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1824">
        <f t="shared" si="243"/>
        <v>0</v>
      </c>
      <c r="JD784" s="1824">
        <f t="shared" si="244"/>
        <v>0</v>
      </c>
      <c r="JE784" s="1824">
        <f t="shared" si="245"/>
        <v>0</v>
      </c>
      <c r="JF784" s="1824">
        <f t="shared" si="246"/>
        <v>0</v>
      </c>
      <c r="JG784" s="1824">
        <f t="shared" si="247"/>
        <v>0</v>
      </c>
      <c r="JH784" s="1824">
        <f t="shared" si="248"/>
        <v>0</v>
      </c>
      <c r="JI784" s="1824">
        <f t="shared" si="249"/>
        <v>0</v>
      </c>
      <c r="JJ784" s="1824">
        <f t="shared" si="250"/>
        <v>0</v>
      </c>
      <c r="JK784" s="1824">
        <f t="shared" si="251"/>
        <v>0</v>
      </c>
      <c r="JL784" s="1824">
        <f t="shared" si="252"/>
        <v>0</v>
      </c>
      <c r="JM784" s="1824">
        <f t="shared" si="253"/>
        <v>0</v>
      </c>
      <c r="JN784" s="1824">
        <f t="shared" si="254"/>
        <v>0</v>
      </c>
      <c r="JO784" s="1824">
        <f t="shared" si="255"/>
        <v>0</v>
      </c>
      <c r="JP784" s="1824">
        <f t="shared" si="256"/>
        <v>0</v>
      </c>
      <c r="JQ784" s="1824">
        <f t="shared" si="257"/>
        <v>0</v>
      </c>
    </row>
    <row r="785" spans="1:277" ht="12" customHeight="1">
      <c r="A785" s="1837" t="str">
        <f t="shared" si="0"/>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1"/>
        <v>0</v>
      </c>
      <c r="L785" s="1851">
        <f t="shared" si="2"/>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1854" t="str">
        <f t="shared" si="133"/>
        <v/>
      </c>
      <c r="EX785" s="1854" t="str">
        <f t="shared" si="134"/>
        <v/>
      </c>
      <c r="EY785" s="1854" t="str">
        <f t="shared" si="135"/>
        <v/>
      </c>
      <c r="EZ785" s="1854" t="str">
        <f t="shared" si="136"/>
        <v/>
      </c>
      <c r="FA785" s="1854" t="str">
        <f t="shared" si="137"/>
        <v/>
      </c>
      <c r="FB785" s="1854" t="str">
        <f t="shared" si="138"/>
        <v/>
      </c>
      <c r="FC785" s="1854" t="str">
        <f t="shared" si="139"/>
        <v/>
      </c>
      <c r="FD785" s="1854" t="str">
        <f t="shared" si="140"/>
        <v/>
      </c>
      <c r="FE785" s="1854" t="str">
        <f t="shared" si="141"/>
        <v/>
      </c>
      <c r="FF785" s="1854" t="str">
        <f t="shared" si="142"/>
        <v/>
      </c>
      <c r="FG785" s="1854" t="str">
        <f t="shared" si="143"/>
        <v/>
      </c>
      <c r="FH785" s="1854" t="str">
        <f t="shared" si="144"/>
        <v/>
      </c>
      <c r="FI785" s="1854" t="str">
        <f t="shared" si="145"/>
        <v/>
      </c>
      <c r="FJ785" s="1854" t="str">
        <f t="shared" si="146"/>
        <v/>
      </c>
      <c r="FK785" s="1854" t="str">
        <f t="shared" si="147"/>
        <v/>
      </c>
      <c r="FL785" s="1854" t="str">
        <f t="shared" si="148"/>
        <v/>
      </c>
      <c r="FM785" s="1854" t="str">
        <f t="shared" si="149"/>
        <v/>
      </c>
      <c r="FN785" s="1854" t="str">
        <f t="shared" si="150"/>
        <v/>
      </c>
      <c r="FO785" s="1854" t="str">
        <f t="shared" si="151"/>
        <v/>
      </c>
      <c r="FP785" s="1854" t="str">
        <f t="shared" si="152"/>
        <v/>
      </c>
      <c r="FQ785" s="1854" t="str">
        <f t="shared" si="153"/>
        <v/>
      </c>
      <c r="FR785" s="1854" t="str">
        <f t="shared" si="154"/>
        <v/>
      </c>
      <c r="FS785" s="1854" t="str">
        <f t="shared" si="155"/>
        <v/>
      </c>
      <c r="FT785" s="1854" t="str">
        <f t="shared" si="156"/>
        <v/>
      </c>
      <c r="FU785" s="1854" t="str">
        <f t="shared" si="157"/>
        <v/>
      </c>
      <c r="FV785" s="1854" t="str">
        <f t="shared" si="158"/>
        <v/>
      </c>
      <c r="FW785" s="1854" t="str">
        <f t="shared" si="159"/>
        <v/>
      </c>
      <c r="FX785" s="1854" t="str">
        <f t="shared" si="160"/>
        <v/>
      </c>
      <c r="FY785" s="1854" t="str">
        <f t="shared" si="161"/>
        <v/>
      </c>
      <c r="FZ785" s="1854" t="str">
        <f t="shared" si="162"/>
        <v/>
      </c>
      <c r="GA785" s="1854" t="str">
        <f t="shared" si="163"/>
        <v/>
      </c>
      <c r="GB785" s="1854" t="str">
        <f t="shared" si="164"/>
        <v/>
      </c>
      <c r="GC785" s="1854" t="str">
        <f t="shared" si="165"/>
        <v/>
      </c>
      <c r="GD785" s="1854" t="str">
        <f t="shared" si="166"/>
        <v/>
      </c>
      <c r="GE785" s="1854" t="str">
        <f t="shared" si="167"/>
        <v/>
      </c>
      <c r="GF785" s="1854" t="str">
        <f t="shared" si="168"/>
        <v/>
      </c>
      <c r="GG785" s="1854" t="str">
        <f t="shared" si="169"/>
        <v/>
      </c>
      <c r="GH785" s="1854" t="str">
        <f t="shared" si="170"/>
        <v/>
      </c>
      <c r="GI785" s="1854" t="str">
        <f t="shared" si="171"/>
        <v/>
      </c>
      <c r="GJ785" s="1854" t="str">
        <f t="shared" si="172"/>
        <v/>
      </c>
      <c r="GK785" s="1854" t="str">
        <f t="shared" si="173"/>
        <v/>
      </c>
      <c r="GL785" s="1854" t="str">
        <f t="shared" si="174"/>
        <v/>
      </c>
      <c r="GM785" s="1854" t="str">
        <f t="shared" si="175"/>
        <v/>
      </c>
      <c r="GN785" s="1854" t="str">
        <f t="shared" si="176"/>
        <v/>
      </c>
      <c r="GO785" s="1854" t="str">
        <f t="shared" si="177"/>
        <v/>
      </c>
      <c r="GP785" s="1854" t="str">
        <f t="shared" si="178"/>
        <v/>
      </c>
      <c r="GQ785" s="1854" t="str">
        <f t="shared" si="179"/>
        <v/>
      </c>
      <c r="GR785" s="1854" t="str">
        <f t="shared" si="180"/>
        <v/>
      </c>
      <c r="GS785" s="1854" t="str">
        <f t="shared" si="181"/>
        <v/>
      </c>
      <c r="GT785" s="1854" t="str">
        <f t="shared" si="182"/>
        <v/>
      </c>
      <c r="GU785" s="1854" t="str">
        <f t="shared" si="183"/>
        <v/>
      </c>
      <c r="GV785" s="1854" t="str">
        <f t="shared" si="184"/>
        <v/>
      </c>
      <c r="GW785" s="1854" t="str">
        <f t="shared" si="185"/>
        <v/>
      </c>
      <c r="GX785" s="1854" t="str">
        <f t="shared" si="186"/>
        <v/>
      </c>
      <c r="GY785" s="1854" t="str">
        <f t="shared" si="187"/>
        <v/>
      </c>
      <c r="GZ785" s="1854" t="str">
        <f t="shared" si="188"/>
        <v/>
      </c>
      <c r="HA785" s="1854" t="str">
        <f t="shared" si="189"/>
        <v/>
      </c>
      <c r="HB785" s="1854" t="str">
        <f t="shared" si="190"/>
        <v/>
      </c>
      <c r="HC785" s="1854" t="str">
        <f t="shared" si="191"/>
        <v/>
      </c>
      <c r="HD785" s="1854" t="str">
        <f t="shared" si="192"/>
        <v/>
      </c>
      <c r="HE785" s="1854" t="str">
        <f t="shared" si="193"/>
        <v/>
      </c>
      <c r="HF785" s="1854" t="str">
        <f t="shared" si="194"/>
        <v/>
      </c>
      <c r="HG785" s="1854" t="str">
        <f t="shared" si="195"/>
        <v/>
      </c>
      <c r="HH785" s="1854" t="str">
        <f t="shared" si="196"/>
        <v/>
      </c>
      <c r="HI785" s="1854" t="str">
        <f t="shared" si="197"/>
        <v/>
      </c>
      <c r="HJ785" s="1854" t="str">
        <f t="shared" si="198"/>
        <v/>
      </c>
      <c r="HK785" s="1854" t="str">
        <f t="shared" si="199"/>
        <v/>
      </c>
      <c r="HL785" s="1854" t="str">
        <f t="shared" si="200"/>
        <v/>
      </c>
      <c r="HM785" s="1854" t="str">
        <f t="shared" si="201"/>
        <v/>
      </c>
      <c r="HN785" s="1854" t="str">
        <f t="shared" si="202"/>
        <v/>
      </c>
      <c r="HO785" s="1854" t="str">
        <f t="shared" si="203"/>
        <v/>
      </c>
      <c r="HP785" s="1854" t="str">
        <f t="shared" si="204"/>
        <v/>
      </c>
      <c r="HQ785" s="1854" t="str">
        <f t="shared" si="205"/>
        <v/>
      </c>
      <c r="HR785" s="1854" t="str">
        <f t="shared" si="206"/>
        <v/>
      </c>
      <c r="HS785" s="1854" t="str">
        <f t="shared" si="207"/>
        <v/>
      </c>
      <c r="HT785" s="1854" t="str">
        <f t="shared" si="208"/>
        <v/>
      </c>
      <c r="HU785" s="1854" t="str">
        <f t="shared" si="209"/>
        <v/>
      </c>
      <c r="HV785" s="1854" t="str">
        <f t="shared" si="210"/>
        <v/>
      </c>
      <c r="HW785" s="1854" t="str">
        <f t="shared" si="211"/>
        <v/>
      </c>
      <c r="HX785" s="1854" t="str">
        <f t="shared" si="212"/>
        <v/>
      </c>
      <c r="HY785" s="1854" t="str">
        <f t="shared" si="213"/>
        <v/>
      </c>
      <c r="HZ785" s="1854" t="str">
        <f t="shared" si="214"/>
        <v/>
      </c>
      <c r="IA785" s="1854" t="str">
        <f t="shared" si="215"/>
        <v/>
      </c>
      <c r="IB785" s="1854" t="str">
        <f t="shared" si="216"/>
        <v/>
      </c>
      <c r="IC785" s="1854" t="str">
        <f t="shared" si="217"/>
        <v/>
      </c>
      <c r="ID785" s="1826" t="str">
        <f t="shared" si="218"/>
        <v/>
      </c>
      <c r="IE785" s="1826" t="str">
        <f t="shared" si="219"/>
        <v/>
      </c>
      <c r="IF785" s="1826" t="str">
        <f t="shared" si="220"/>
        <v/>
      </c>
      <c r="IG785" s="1826" t="str">
        <f t="shared" si="221"/>
        <v/>
      </c>
      <c r="IH785" s="1826"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1824">
        <f t="shared" si="243"/>
        <v>0</v>
      </c>
      <c r="JD785" s="1824">
        <f t="shared" si="244"/>
        <v>0</v>
      </c>
      <c r="JE785" s="1824">
        <f t="shared" si="245"/>
        <v>0</v>
      </c>
      <c r="JF785" s="1824">
        <f t="shared" si="246"/>
        <v>0</v>
      </c>
      <c r="JG785" s="1824">
        <f t="shared" si="247"/>
        <v>0</v>
      </c>
      <c r="JH785" s="1824">
        <f t="shared" si="248"/>
        <v>0</v>
      </c>
      <c r="JI785" s="1824">
        <f t="shared" si="249"/>
        <v>0</v>
      </c>
      <c r="JJ785" s="1824">
        <f t="shared" si="250"/>
        <v>0</v>
      </c>
      <c r="JK785" s="1824">
        <f t="shared" si="251"/>
        <v>0</v>
      </c>
      <c r="JL785" s="1824">
        <f t="shared" si="252"/>
        <v>0</v>
      </c>
      <c r="JM785" s="1824">
        <f t="shared" si="253"/>
        <v>0</v>
      </c>
      <c r="JN785" s="1824">
        <f t="shared" si="254"/>
        <v>0</v>
      </c>
      <c r="JO785" s="1824">
        <f t="shared" si="255"/>
        <v>0</v>
      </c>
      <c r="JP785" s="1824">
        <f t="shared" si="256"/>
        <v>0</v>
      </c>
      <c r="JQ785" s="1824">
        <f t="shared" si="257"/>
        <v>0</v>
      </c>
    </row>
    <row r="786" spans="1:277" ht="12" customHeight="1">
      <c r="A786" s="1837" t="str">
        <f t="shared" si="0"/>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1"/>
        <v>0</v>
      </c>
      <c r="L786" s="1851">
        <f t="shared" si="2"/>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1854" t="str">
        <f t="shared" si="133"/>
        <v/>
      </c>
      <c r="EX786" s="1854" t="str">
        <f t="shared" si="134"/>
        <v/>
      </c>
      <c r="EY786" s="1854" t="str">
        <f t="shared" si="135"/>
        <v/>
      </c>
      <c r="EZ786" s="1854" t="str">
        <f t="shared" si="136"/>
        <v/>
      </c>
      <c r="FA786" s="1854" t="str">
        <f t="shared" si="137"/>
        <v/>
      </c>
      <c r="FB786" s="1854" t="str">
        <f t="shared" si="138"/>
        <v/>
      </c>
      <c r="FC786" s="1854" t="str">
        <f t="shared" si="139"/>
        <v/>
      </c>
      <c r="FD786" s="1854" t="str">
        <f t="shared" si="140"/>
        <v/>
      </c>
      <c r="FE786" s="1854" t="str">
        <f t="shared" si="141"/>
        <v/>
      </c>
      <c r="FF786" s="1854" t="str">
        <f t="shared" si="142"/>
        <v/>
      </c>
      <c r="FG786" s="1854" t="str">
        <f t="shared" si="143"/>
        <v/>
      </c>
      <c r="FH786" s="1854" t="str">
        <f t="shared" si="144"/>
        <v/>
      </c>
      <c r="FI786" s="1854" t="str">
        <f t="shared" si="145"/>
        <v/>
      </c>
      <c r="FJ786" s="1854" t="str">
        <f t="shared" si="146"/>
        <v/>
      </c>
      <c r="FK786" s="1854" t="str">
        <f t="shared" si="147"/>
        <v/>
      </c>
      <c r="FL786" s="1854" t="str">
        <f t="shared" si="148"/>
        <v/>
      </c>
      <c r="FM786" s="1854" t="str">
        <f t="shared" si="149"/>
        <v/>
      </c>
      <c r="FN786" s="1854" t="str">
        <f t="shared" si="150"/>
        <v/>
      </c>
      <c r="FO786" s="1854" t="str">
        <f t="shared" si="151"/>
        <v/>
      </c>
      <c r="FP786" s="1854" t="str">
        <f t="shared" si="152"/>
        <v/>
      </c>
      <c r="FQ786" s="1854" t="str">
        <f t="shared" si="153"/>
        <v/>
      </c>
      <c r="FR786" s="1854" t="str">
        <f t="shared" si="154"/>
        <v/>
      </c>
      <c r="FS786" s="1854" t="str">
        <f t="shared" si="155"/>
        <v/>
      </c>
      <c r="FT786" s="1854" t="str">
        <f t="shared" si="156"/>
        <v/>
      </c>
      <c r="FU786" s="1854" t="str">
        <f t="shared" si="157"/>
        <v/>
      </c>
      <c r="FV786" s="1854" t="str">
        <f t="shared" si="158"/>
        <v/>
      </c>
      <c r="FW786" s="1854" t="str">
        <f t="shared" si="159"/>
        <v/>
      </c>
      <c r="FX786" s="1854" t="str">
        <f t="shared" si="160"/>
        <v/>
      </c>
      <c r="FY786" s="1854" t="str">
        <f t="shared" si="161"/>
        <v/>
      </c>
      <c r="FZ786" s="1854" t="str">
        <f t="shared" si="162"/>
        <v/>
      </c>
      <c r="GA786" s="1854" t="str">
        <f t="shared" si="163"/>
        <v/>
      </c>
      <c r="GB786" s="1854" t="str">
        <f t="shared" si="164"/>
        <v/>
      </c>
      <c r="GC786" s="1854" t="str">
        <f t="shared" si="165"/>
        <v/>
      </c>
      <c r="GD786" s="1854" t="str">
        <f t="shared" si="166"/>
        <v/>
      </c>
      <c r="GE786" s="1854" t="str">
        <f t="shared" si="167"/>
        <v/>
      </c>
      <c r="GF786" s="1854" t="str">
        <f t="shared" si="168"/>
        <v/>
      </c>
      <c r="GG786" s="1854" t="str">
        <f t="shared" si="169"/>
        <v/>
      </c>
      <c r="GH786" s="1854" t="str">
        <f t="shared" si="170"/>
        <v/>
      </c>
      <c r="GI786" s="1854" t="str">
        <f t="shared" si="171"/>
        <v/>
      </c>
      <c r="GJ786" s="1854" t="str">
        <f t="shared" si="172"/>
        <v/>
      </c>
      <c r="GK786" s="1854" t="str">
        <f t="shared" si="173"/>
        <v/>
      </c>
      <c r="GL786" s="1854" t="str">
        <f t="shared" si="174"/>
        <v/>
      </c>
      <c r="GM786" s="1854" t="str">
        <f t="shared" si="175"/>
        <v/>
      </c>
      <c r="GN786" s="1854" t="str">
        <f t="shared" si="176"/>
        <v/>
      </c>
      <c r="GO786" s="1854" t="str">
        <f t="shared" si="177"/>
        <v/>
      </c>
      <c r="GP786" s="1854" t="str">
        <f t="shared" si="178"/>
        <v/>
      </c>
      <c r="GQ786" s="1854" t="str">
        <f t="shared" si="179"/>
        <v/>
      </c>
      <c r="GR786" s="1854" t="str">
        <f t="shared" si="180"/>
        <v/>
      </c>
      <c r="GS786" s="1854" t="str">
        <f t="shared" si="181"/>
        <v/>
      </c>
      <c r="GT786" s="1854" t="str">
        <f t="shared" si="182"/>
        <v/>
      </c>
      <c r="GU786" s="1854" t="str">
        <f t="shared" si="183"/>
        <v/>
      </c>
      <c r="GV786" s="1854" t="str">
        <f t="shared" si="184"/>
        <v/>
      </c>
      <c r="GW786" s="1854" t="str">
        <f t="shared" si="185"/>
        <v/>
      </c>
      <c r="GX786" s="1854" t="str">
        <f t="shared" si="186"/>
        <v/>
      </c>
      <c r="GY786" s="1854" t="str">
        <f t="shared" si="187"/>
        <v/>
      </c>
      <c r="GZ786" s="1854" t="str">
        <f t="shared" si="188"/>
        <v/>
      </c>
      <c r="HA786" s="1854" t="str">
        <f t="shared" si="189"/>
        <v/>
      </c>
      <c r="HB786" s="1854" t="str">
        <f t="shared" si="190"/>
        <v/>
      </c>
      <c r="HC786" s="1854" t="str">
        <f t="shared" si="191"/>
        <v/>
      </c>
      <c r="HD786" s="1854" t="str">
        <f t="shared" si="192"/>
        <v/>
      </c>
      <c r="HE786" s="1854" t="str">
        <f t="shared" si="193"/>
        <v/>
      </c>
      <c r="HF786" s="1854" t="str">
        <f t="shared" si="194"/>
        <v/>
      </c>
      <c r="HG786" s="1854" t="str">
        <f t="shared" si="195"/>
        <v/>
      </c>
      <c r="HH786" s="1854" t="str">
        <f t="shared" si="196"/>
        <v/>
      </c>
      <c r="HI786" s="1854" t="str">
        <f t="shared" si="197"/>
        <v/>
      </c>
      <c r="HJ786" s="1854" t="str">
        <f t="shared" si="198"/>
        <v/>
      </c>
      <c r="HK786" s="1854" t="str">
        <f t="shared" si="199"/>
        <v/>
      </c>
      <c r="HL786" s="1854" t="str">
        <f t="shared" si="200"/>
        <v/>
      </c>
      <c r="HM786" s="1854" t="str">
        <f t="shared" si="201"/>
        <v/>
      </c>
      <c r="HN786" s="1854" t="str">
        <f t="shared" si="202"/>
        <v/>
      </c>
      <c r="HO786" s="1854" t="str">
        <f t="shared" si="203"/>
        <v/>
      </c>
      <c r="HP786" s="1854" t="str">
        <f t="shared" si="204"/>
        <v/>
      </c>
      <c r="HQ786" s="1854" t="str">
        <f t="shared" si="205"/>
        <v/>
      </c>
      <c r="HR786" s="1854" t="str">
        <f t="shared" si="206"/>
        <v/>
      </c>
      <c r="HS786" s="1854" t="str">
        <f t="shared" si="207"/>
        <v/>
      </c>
      <c r="HT786" s="1854" t="str">
        <f t="shared" si="208"/>
        <v/>
      </c>
      <c r="HU786" s="1854" t="str">
        <f t="shared" si="209"/>
        <v/>
      </c>
      <c r="HV786" s="1854" t="str">
        <f t="shared" si="210"/>
        <v/>
      </c>
      <c r="HW786" s="1854" t="str">
        <f t="shared" si="211"/>
        <v/>
      </c>
      <c r="HX786" s="1854" t="str">
        <f t="shared" si="212"/>
        <v/>
      </c>
      <c r="HY786" s="1854" t="str">
        <f t="shared" si="213"/>
        <v/>
      </c>
      <c r="HZ786" s="1854" t="str">
        <f t="shared" si="214"/>
        <v/>
      </c>
      <c r="IA786" s="1854" t="str">
        <f t="shared" si="215"/>
        <v/>
      </c>
      <c r="IB786" s="1854" t="str">
        <f t="shared" si="216"/>
        <v/>
      </c>
      <c r="IC786" s="1854" t="str">
        <f t="shared" si="217"/>
        <v/>
      </c>
      <c r="ID786" s="1826" t="str">
        <f t="shared" si="218"/>
        <v/>
      </c>
      <c r="IE786" s="1826" t="str">
        <f t="shared" si="219"/>
        <v/>
      </c>
      <c r="IF786" s="1826" t="str">
        <f t="shared" si="220"/>
        <v/>
      </c>
      <c r="IG786" s="1826" t="str">
        <f t="shared" si="221"/>
        <v/>
      </c>
      <c r="IH786" s="1826"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1824">
        <f t="shared" si="243"/>
        <v>0</v>
      </c>
      <c r="JD786" s="1824">
        <f t="shared" si="244"/>
        <v>0</v>
      </c>
      <c r="JE786" s="1824">
        <f t="shared" si="245"/>
        <v>0</v>
      </c>
      <c r="JF786" s="1824">
        <f t="shared" si="246"/>
        <v>0</v>
      </c>
      <c r="JG786" s="1824">
        <f t="shared" si="247"/>
        <v>0</v>
      </c>
      <c r="JH786" s="1824">
        <f t="shared" si="248"/>
        <v>0</v>
      </c>
      <c r="JI786" s="1824">
        <f t="shared" si="249"/>
        <v>0</v>
      </c>
      <c r="JJ786" s="1824">
        <f t="shared" si="250"/>
        <v>0</v>
      </c>
      <c r="JK786" s="1824">
        <f t="shared" si="251"/>
        <v>0</v>
      </c>
      <c r="JL786" s="1824">
        <f t="shared" si="252"/>
        <v>0</v>
      </c>
      <c r="JM786" s="1824">
        <f t="shared" si="253"/>
        <v>0</v>
      </c>
      <c r="JN786" s="1824">
        <f t="shared" si="254"/>
        <v>0</v>
      </c>
      <c r="JO786" s="1824">
        <f t="shared" si="255"/>
        <v>0</v>
      </c>
      <c r="JP786" s="1824">
        <f t="shared" si="256"/>
        <v>0</v>
      </c>
      <c r="JQ786" s="1824">
        <f t="shared" si="257"/>
        <v>0</v>
      </c>
    </row>
    <row r="787" spans="1:277" ht="12" customHeight="1">
      <c r="A787" s="1837" t="str">
        <f t="shared" si="0"/>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1"/>
        <v>0</v>
      </c>
      <c r="L787" s="1851">
        <f t="shared" si="2"/>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1854" t="str">
        <f t="shared" si="133"/>
        <v/>
      </c>
      <c r="EX787" s="1854" t="str">
        <f t="shared" si="134"/>
        <v/>
      </c>
      <c r="EY787" s="1854" t="str">
        <f t="shared" si="135"/>
        <v/>
      </c>
      <c r="EZ787" s="1854" t="str">
        <f t="shared" si="136"/>
        <v/>
      </c>
      <c r="FA787" s="1854" t="str">
        <f t="shared" si="137"/>
        <v/>
      </c>
      <c r="FB787" s="1854" t="str">
        <f t="shared" si="138"/>
        <v/>
      </c>
      <c r="FC787" s="1854" t="str">
        <f t="shared" si="139"/>
        <v/>
      </c>
      <c r="FD787" s="1854" t="str">
        <f t="shared" si="140"/>
        <v/>
      </c>
      <c r="FE787" s="1854" t="str">
        <f t="shared" si="141"/>
        <v/>
      </c>
      <c r="FF787" s="1854" t="str">
        <f t="shared" si="142"/>
        <v/>
      </c>
      <c r="FG787" s="1854" t="str">
        <f t="shared" si="143"/>
        <v/>
      </c>
      <c r="FH787" s="1854" t="str">
        <f t="shared" si="144"/>
        <v/>
      </c>
      <c r="FI787" s="1854" t="str">
        <f t="shared" si="145"/>
        <v/>
      </c>
      <c r="FJ787" s="1854" t="str">
        <f t="shared" si="146"/>
        <v/>
      </c>
      <c r="FK787" s="1854" t="str">
        <f t="shared" si="147"/>
        <v/>
      </c>
      <c r="FL787" s="1854" t="str">
        <f t="shared" si="148"/>
        <v/>
      </c>
      <c r="FM787" s="1854" t="str">
        <f t="shared" si="149"/>
        <v/>
      </c>
      <c r="FN787" s="1854" t="str">
        <f t="shared" si="150"/>
        <v/>
      </c>
      <c r="FO787" s="1854" t="str">
        <f t="shared" si="151"/>
        <v/>
      </c>
      <c r="FP787" s="1854" t="str">
        <f t="shared" si="152"/>
        <v/>
      </c>
      <c r="FQ787" s="1854" t="str">
        <f t="shared" si="153"/>
        <v/>
      </c>
      <c r="FR787" s="1854" t="str">
        <f t="shared" si="154"/>
        <v/>
      </c>
      <c r="FS787" s="1854" t="str">
        <f t="shared" si="155"/>
        <v/>
      </c>
      <c r="FT787" s="1854" t="str">
        <f t="shared" si="156"/>
        <v/>
      </c>
      <c r="FU787" s="1854" t="str">
        <f t="shared" si="157"/>
        <v/>
      </c>
      <c r="FV787" s="1854" t="str">
        <f t="shared" si="158"/>
        <v/>
      </c>
      <c r="FW787" s="1854" t="str">
        <f t="shared" si="159"/>
        <v/>
      </c>
      <c r="FX787" s="1854" t="str">
        <f t="shared" si="160"/>
        <v/>
      </c>
      <c r="FY787" s="1854" t="str">
        <f t="shared" si="161"/>
        <v/>
      </c>
      <c r="FZ787" s="1854" t="str">
        <f t="shared" si="162"/>
        <v/>
      </c>
      <c r="GA787" s="1854" t="str">
        <f t="shared" si="163"/>
        <v/>
      </c>
      <c r="GB787" s="1854" t="str">
        <f t="shared" si="164"/>
        <v/>
      </c>
      <c r="GC787" s="1854" t="str">
        <f t="shared" si="165"/>
        <v/>
      </c>
      <c r="GD787" s="1854" t="str">
        <f t="shared" si="166"/>
        <v/>
      </c>
      <c r="GE787" s="1854" t="str">
        <f t="shared" si="167"/>
        <v/>
      </c>
      <c r="GF787" s="1854" t="str">
        <f t="shared" si="168"/>
        <v/>
      </c>
      <c r="GG787" s="1854" t="str">
        <f t="shared" si="169"/>
        <v/>
      </c>
      <c r="GH787" s="1854" t="str">
        <f t="shared" si="170"/>
        <v/>
      </c>
      <c r="GI787" s="1854" t="str">
        <f t="shared" si="171"/>
        <v/>
      </c>
      <c r="GJ787" s="1854" t="str">
        <f t="shared" si="172"/>
        <v/>
      </c>
      <c r="GK787" s="1854" t="str">
        <f t="shared" si="173"/>
        <v/>
      </c>
      <c r="GL787" s="1854" t="str">
        <f t="shared" si="174"/>
        <v/>
      </c>
      <c r="GM787" s="1854" t="str">
        <f t="shared" si="175"/>
        <v/>
      </c>
      <c r="GN787" s="1854" t="str">
        <f t="shared" si="176"/>
        <v/>
      </c>
      <c r="GO787" s="1854" t="str">
        <f t="shared" si="177"/>
        <v/>
      </c>
      <c r="GP787" s="1854" t="str">
        <f t="shared" si="178"/>
        <v/>
      </c>
      <c r="GQ787" s="1854" t="str">
        <f t="shared" si="179"/>
        <v/>
      </c>
      <c r="GR787" s="1854" t="str">
        <f t="shared" si="180"/>
        <v/>
      </c>
      <c r="GS787" s="1854" t="str">
        <f t="shared" si="181"/>
        <v/>
      </c>
      <c r="GT787" s="1854" t="str">
        <f t="shared" si="182"/>
        <v/>
      </c>
      <c r="GU787" s="1854" t="str">
        <f t="shared" si="183"/>
        <v/>
      </c>
      <c r="GV787" s="1854" t="str">
        <f t="shared" si="184"/>
        <v/>
      </c>
      <c r="GW787" s="1854" t="str">
        <f t="shared" si="185"/>
        <v/>
      </c>
      <c r="GX787" s="1854" t="str">
        <f t="shared" si="186"/>
        <v/>
      </c>
      <c r="GY787" s="1854" t="str">
        <f t="shared" si="187"/>
        <v/>
      </c>
      <c r="GZ787" s="1854" t="str">
        <f t="shared" si="188"/>
        <v/>
      </c>
      <c r="HA787" s="1854" t="str">
        <f t="shared" si="189"/>
        <v/>
      </c>
      <c r="HB787" s="1854" t="str">
        <f t="shared" si="190"/>
        <v/>
      </c>
      <c r="HC787" s="1854" t="str">
        <f t="shared" si="191"/>
        <v/>
      </c>
      <c r="HD787" s="1854" t="str">
        <f t="shared" si="192"/>
        <v/>
      </c>
      <c r="HE787" s="1854" t="str">
        <f t="shared" si="193"/>
        <v/>
      </c>
      <c r="HF787" s="1854" t="str">
        <f t="shared" si="194"/>
        <v/>
      </c>
      <c r="HG787" s="1854" t="str">
        <f t="shared" si="195"/>
        <v/>
      </c>
      <c r="HH787" s="1854" t="str">
        <f t="shared" si="196"/>
        <v/>
      </c>
      <c r="HI787" s="1854" t="str">
        <f t="shared" si="197"/>
        <v/>
      </c>
      <c r="HJ787" s="1854" t="str">
        <f t="shared" si="198"/>
        <v/>
      </c>
      <c r="HK787" s="1854" t="str">
        <f t="shared" si="199"/>
        <v/>
      </c>
      <c r="HL787" s="1854" t="str">
        <f t="shared" si="200"/>
        <v/>
      </c>
      <c r="HM787" s="1854" t="str">
        <f t="shared" si="201"/>
        <v/>
      </c>
      <c r="HN787" s="1854" t="str">
        <f t="shared" si="202"/>
        <v/>
      </c>
      <c r="HO787" s="1854" t="str">
        <f t="shared" si="203"/>
        <v/>
      </c>
      <c r="HP787" s="1854" t="str">
        <f t="shared" si="204"/>
        <v/>
      </c>
      <c r="HQ787" s="1854" t="str">
        <f t="shared" si="205"/>
        <v/>
      </c>
      <c r="HR787" s="1854" t="str">
        <f t="shared" si="206"/>
        <v/>
      </c>
      <c r="HS787" s="1854" t="str">
        <f t="shared" si="207"/>
        <v/>
      </c>
      <c r="HT787" s="1854" t="str">
        <f t="shared" si="208"/>
        <v/>
      </c>
      <c r="HU787" s="1854" t="str">
        <f t="shared" si="209"/>
        <v/>
      </c>
      <c r="HV787" s="1854" t="str">
        <f t="shared" si="210"/>
        <v/>
      </c>
      <c r="HW787" s="1854" t="str">
        <f t="shared" si="211"/>
        <v/>
      </c>
      <c r="HX787" s="1854" t="str">
        <f t="shared" si="212"/>
        <v/>
      </c>
      <c r="HY787" s="1854" t="str">
        <f t="shared" si="213"/>
        <v/>
      </c>
      <c r="HZ787" s="1854" t="str">
        <f t="shared" si="214"/>
        <v/>
      </c>
      <c r="IA787" s="1854" t="str">
        <f t="shared" si="215"/>
        <v/>
      </c>
      <c r="IB787" s="1854" t="str">
        <f t="shared" si="216"/>
        <v/>
      </c>
      <c r="IC787" s="1854" t="str">
        <f t="shared" si="217"/>
        <v/>
      </c>
      <c r="ID787" s="1826" t="str">
        <f t="shared" si="218"/>
        <v/>
      </c>
      <c r="IE787" s="1826" t="str">
        <f t="shared" si="219"/>
        <v/>
      </c>
      <c r="IF787" s="1826" t="str">
        <f t="shared" si="220"/>
        <v/>
      </c>
      <c r="IG787" s="1826" t="str">
        <f t="shared" si="221"/>
        <v/>
      </c>
      <c r="IH787" s="1826"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1824">
        <f t="shared" si="243"/>
        <v>0</v>
      </c>
      <c r="JD787" s="1824">
        <f t="shared" si="244"/>
        <v>0</v>
      </c>
      <c r="JE787" s="1824">
        <f t="shared" si="245"/>
        <v>0</v>
      </c>
      <c r="JF787" s="1824">
        <f t="shared" si="246"/>
        <v>0</v>
      </c>
      <c r="JG787" s="1824">
        <f t="shared" si="247"/>
        <v>0</v>
      </c>
      <c r="JH787" s="1824">
        <f t="shared" si="248"/>
        <v>0</v>
      </c>
      <c r="JI787" s="1824">
        <f t="shared" si="249"/>
        <v>0</v>
      </c>
      <c r="JJ787" s="1824">
        <f t="shared" si="250"/>
        <v>0</v>
      </c>
      <c r="JK787" s="1824">
        <f t="shared" si="251"/>
        <v>0</v>
      </c>
      <c r="JL787" s="1824">
        <f t="shared" si="252"/>
        <v>0</v>
      </c>
      <c r="JM787" s="1824">
        <f t="shared" si="253"/>
        <v>0</v>
      </c>
      <c r="JN787" s="1824">
        <f t="shared" si="254"/>
        <v>0</v>
      </c>
      <c r="JO787" s="1824">
        <f t="shared" si="255"/>
        <v>0</v>
      </c>
      <c r="JP787" s="1824">
        <f t="shared" si="256"/>
        <v>0</v>
      </c>
      <c r="JQ787" s="1824">
        <f t="shared" si="257"/>
        <v>0</v>
      </c>
    </row>
    <row r="788" spans="1:277" ht="12" customHeight="1">
      <c r="A788" s="1837" t="str">
        <f t="shared" si="0"/>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1"/>
        <v>0</v>
      </c>
      <c r="L788" s="1851">
        <f t="shared" si="2"/>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1854" t="str">
        <f t="shared" si="133"/>
        <v/>
      </c>
      <c r="EX788" s="1854" t="str">
        <f t="shared" si="134"/>
        <v/>
      </c>
      <c r="EY788" s="1854" t="str">
        <f t="shared" si="135"/>
        <v/>
      </c>
      <c r="EZ788" s="1854" t="str">
        <f t="shared" si="136"/>
        <v/>
      </c>
      <c r="FA788" s="1854" t="str">
        <f t="shared" si="137"/>
        <v/>
      </c>
      <c r="FB788" s="1854" t="str">
        <f t="shared" si="138"/>
        <v/>
      </c>
      <c r="FC788" s="1854" t="str">
        <f t="shared" si="139"/>
        <v/>
      </c>
      <c r="FD788" s="1854" t="str">
        <f t="shared" si="140"/>
        <v/>
      </c>
      <c r="FE788" s="1854" t="str">
        <f t="shared" si="141"/>
        <v/>
      </c>
      <c r="FF788" s="1854" t="str">
        <f t="shared" si="142"/>
        <v/>
      </c>
      <c r="FG788" s="1854" t="str">
        <f t="shared" si="143"/>
        <v/>
      </c>
      <c r="FH788" s="1854" t="str">
        <f t="shared" si="144"/>
        <v/>
      </c>
      <c r="FI788" s="1854" t="str">
        <f t="shared" si="145"/>
        <v/>
      </c>
      <c r="FJ788" s="1854" t="str">
        <f t="shared" si="146"/>
        <v/>
      </c>
      <c r="FK788" s="1854" t="str">
        <f t="shared" si="147"/>
        <v/>
      </c>
      <c r="FL788" s="1854" t="str">
        <f t="shared" si="148"/>
        <v/>
      </c>
      <c r="FM788" s="1854" t="str">
        <f t="shared" si="149"/>
        <v/>
      </c>
      <c r="FN788" s="1854" t="str">
        <f t="shared" si="150"/>
        <v/>
      </c>
      <c r="FO788" s="1854" t="str">
        <f t="shared" si="151"/>
        <v/>
      </c>
      <c r="FP788" s="1854" t="str">
        <f t="shared" si="152"/>
        <v/>
      </c>
      <c r="FQ788" s="1854" t="str">
        <f t="shared" si="153"/>
        <v/>
      </c>
      <c r="FR788" s="1854" t="str">
        <f t="shared" si="154"/>
        <v/>
      </c>
      <c r="FS788" s="1854" t="str">
        <f t="shared" si="155"/>
        <v/>
      </c>
      <c r="FT788" s="1854" t="str">
        <f t="shared" si="156"/>
        <v/>
      </c>
      <c r="FU788" s="1854" t="str">
        <f t="shared" si="157"/>
        <v/>
      </c>
      <c r="FV788" s="1854" t="str">
        <f t="shared" si="158"/>
        <v/>
      </c>
      <c r="FW788" s="1854" t="str">
        <f t="shared" si="159"/>
        <v/>
      </c>
      <c r="FX788" s="1854" t="str">
        <f t="shared" si="160"/>
        <v/>
      </c>
      <c r="FY788" s="1854" t="str">
        <f t="shared" si="161"/>
        <v/>
      </c>
      <c r="FZ788" s="1854" t="str">
        <f t="shared" si="162"/>
        <v/>
      </c>
      <c r="GA788" s="1854" t="str">
        <f t="shared" si="163"/>
        <v/>
      </c>
      <c r="GB788" s="1854" t="str">
        <f t="shared" si="164"/>
        <v/>
      </c>
      <c r="GC788" s="1854" t="str">
        <f t="shared" si="165"/>
        <v/>
      </c>
      <c r="GD788" s="1854" t="str">
        <f t="shared" si="166"/>
        <v/>
      </c>
      <c r="GE788" s="1854" t="str">
        <f t="shared" si="167"/>
        <v/>
      </c>
      <c r="GF788" s="1854" t="str">
        <f t="shared" si="168"/>
        <v/>
      </c>
      <c r="GG788" s="1854" t="str">
        <f t="shared" si="169"/>
        <v/>
      </c>
      <c r="GH788" s="1854" t="str">
        <f t="shared" si="170"/>
        <v/>
      </c>
      <c r="GI788" s="1854" t="str">
        <f t="shared" si="171"/>
        <v/>
      </c>
      <c r="GJ788" s="1854" t="str">
        <f t="shared" si="172"/>
        <v/>
      </c>
      <c r="GK788" s="1854" t="str">
        <f t="shared" si="173"/>
        <v/>
      </c>
      <c r="GL788" s="1854" t="str">
        <f t="shared" si="174"/>
        <v/>
      </c>
      <c r="GM788" s="1854" t="str">
        <f t="shared" si="175"/>
        <v/>
      </c>
      <c r="GN788" s="1854" t="str">
        <f t="shared" si="176"/>
        <v/>
      </c>
      <c r="GO788" s="1854" t="str">
        <f t="shared" si="177"/>
        <v/>
      </c>
      <c r="GP788" s="1854" t="str">
        <f t="shared" si="178"/>
        <v/>
      </c>
      <c r="GQ788" s="1854" t="str">
        <f t="shared" si="179"/>
        <v/>
      </c>
      <c r="GR788" s="1854" t="str">
        <f t="shared" si="180"/>
        <v/>
      </c>
      <c r="GS788" s="1854" t="str">
        <f t="shared" si="181"/>
        <v/>
      </c>
      <c r="GT788" s="1854" t="str">
        <f t="shared" si="182"/>
        <v/>
      </c>
      <c r="GU788" s="1854" t="str">
        <f t="shared" si="183"/>
        <v/>
      </c>
      <c r="GV788" s="1854" t="str">
        <f t="shared" si="184"/>
        <v/>
      </c>
      <c r="GW788" s="1854" t="str">
        <f t="shared" si="185"/>
        <v/>
      </c>
      <c r="GX788" s="1854" t="str">
        <f t="shared" si="186"/>
        <v/>
      </c>
      <c r="GY788" s="1854" t="str">
        <f t="shared" si="187"/>
        <v/>
      </c>
      <c r="GZ788" s="1854" t="str">
        <f t="shared" si="188"/>
        <v/>
      </c>
      <c r="HA788" s="1854" t="str">
        <f t="shared" si="189"/>
        <v/>
      </c>
      <c r="HB788" s="1854" t="str">
        <f t="shared" si="190"/>
        <v/>
      </c>
      <c r="HC788" s="1854" t="str">
        <f t="shared" si="191"/>
        <v/>
      </c>
      <c r="HD788" s="1854" t="str">
        <f t="shared" si="192"/>
        <v/>
      </c>
      <c r="HE788" s="1854" t="str">
        <f t="shared" si="193"/>
        <v/>
      </c>
      <c r="HF788" s="1854" t="str">
        <f t="shared" si="194"/>
        <v/>
      </c>
      <c r="HG788" s="1854" t="str">
        <f t="shared" si="195"/>
        <v/>
      </c>
      <c r="HH788" s="1854" t="str">
        <f t="shared" si="196"/>
        <v/>
      </c>
      <c r="HI788" s="1854" t="str">
        <f t="shared" si="197"/>
        <v/>
      </c>
      <c r="HJ788" s="1854" t="str">
        <f t="shared" si="198"/>
        <v/>
      </c>
      <c r="HK788" s="1854" t="str">
        <f t="shared" si="199"/>
        <v/>
      </c>
      <c r="HL788" s="1854" t="str">
        <f t="shared" si="200"/>
        <v/>
      </c>
      <c r="HM788" s="1854" t="str">
        <f t="shared" si="201"/>
        <v/>
      </c>
      <c r="HN788" s="1854" t="str">
        <f t="shared" si="202"/>
        <v/>
      </c>
      <c r="HO788" s="1854" t="str">
        <f t="shared" si="203"/>
        <v/>
      </c>
      <c r="HP788" s="1854" t="str">
        <f t="shared" si="204"/>
        <v/>
      </c>
      <c r="HQ788" s="1854" t="str">
        <f t="shared" si="205"/>
        <v/>
      </c>
      <c r="HR788" s="1854" t="str">
        <f t="shared" si="206"/>
        <v/>
      </c>
      <c r="HS788" s="1854" t="str">
        <f t="shared" si="207"/>
        <v/>
      </c>
      <c r="HT788" s="1854" t="str">
        <f t="shared" si="208"/>
        <v/>
      </c>
      <c r="HU788" s="1854" t="str">
        <f t="shared" si="209"/>
        <v/>
      </c>
      <c r="HV788" s="1854" t="str">
        <f t="shared" si="210"/>
        <v/>
      </c>
      <c r="HW788" s="1854" t="str">
        <f t="shared" si="211"/>
        <v/>
      </c>
      <c r="HX788" s="1854" t="str">
        <f t="shared" si="212"/>
        <v/>
      </c>
      <c r="HY788" s="1854" t="str">
        <f t="shared" si="213"/>
        <v/>
      </c>
      <c r="HZ788" s="1854" t="str">
        <f t="shared" si="214"/>
        <v/>
      </c>
      <c r="IA788" s="1854" t="str">
        <f t="shared" si="215"/>
        <v/>
      </c>
      <c r="IB788" s="1854" t="str">
        <f t="shared" si="216"/>
        <v/>
      </c>
      <c r="IC788" s="1854" t="str">
        <f t="shared" si="217"/>
        <v/>
      </c>
      <c r="ID788" s="1826" t="str">
        <f t="shared" si="218"/>
        <v/>
      </c>
      <c r="IE788" s="1826" t="str">
        <f t="shared" si="219"/>
        <v/>
      </c>
      <c r="IF788" s="1826" t="str">
        <f t="shared" si="220"/>
        <v/>
      </c>
      <c r="IG788" s="1826" t="str">
        <f t="shared" si="221"/>
        <v/>
      </c>
      <c r="IH788" s="1826"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1824">
        <f t="shared" si="243"/>
        <v>0</v>
      </c>
      <c r="JD788" s="1824">
        <f t="shared" si="244"/>
        <v>0</v>
      </c>
      <c r="JE788" s="1824">
        <f t="shared" si="245"/>
        <v>0</v>
      </c>
      <c r="JF788" s="1824">
        <f t="shared" si="246"/>
        <v>0</v>
      </c>
      <c r="JG788" s="1824">
        <f t="shared" si="247"/>
        <v>0</v>
      </c>
      <c r="JH788" s="1824">
        <f t="shared" si="248"/>
        <v>0</v>
      </c>
      <c r="JI788" s="1824">
        <f t="shared" si="249"/>
        <v>0</v>
      </c>
      <c r="JJ788" s="1824">
        <f t="shared" si="250"/>
        <v>0</v>
      </c>
      <c r="JK788" s="1824">
        <f t="shared" si="251"/>
        <v>0</v>
      </c>
      <c r="JL788" s="1824">
        <f t="shared" si="252"/>
        <v>0</v>
      </c>
      <c r="JM788" s="1824">
        <f t="shared" si="253"/>
        <v>0</v>
      </c>
      <c r="JN788" s="1824">
        <f t="shared" si="254"/>
        <v>0</v>
      </c>
      <c r="JO788" s="1824">
        <f t="shared" si="255"/>
        <v>0</v>
      </c>
      <c r="JP788" s="1824">
        <f t="shared" si="256"/>
        <v>0</v>
      </c>
      <c r="JQ788" s="1824">
        <f t="shared" si="257"/>
        <v>0</v>
      </c>
    </row>
    <row r="789" spans="1:277" ht="12" customHeight="1">
      <c r="A789" s="1837" t="str">
        <f t="shared" si="0"/>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1"/>
        <v>0</v>
      </c>
      <c r="L789" s="1851">
        <f t="shared" si="2"/>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1854" t="str">
        <f t="shared" si="133"/>
        <v/>
      </c>
      <c r="EX789" s="1854" t="str">
        <f t="shared" si="134"/>
        <v/>
      </c>
      <c r="EY789" s="1854" t="str">
        <f t="shared" si="135"/>
        <v/>
      </c>
      <c r="EZ789" s="1854" t="str">
        <f t="shared" si="136"/>
        <v/>
      </c>
      <c r="FA789" s="1854" t="str">
        <f t="shared" si="137"/>
        <v/>
      </c>
      <c r="FB789" s="1854" t="str">
        <f t="shared" si="138"/>
        <v/>
      </c>
      <c r="FC789" s="1854" t="str">
        <f t="shared" si="139"/>
        <v/>
      </c>
      <c r="FD789" s="1854" t="str">
        <f t="shared" si="140"/>
        <v/>
      </c>
      <c r="FE789" s="1854" t="str">
        <f t="shared" si="141"/>
        <v/>
      </c>
      <c r="FF789" s="1854" t="str">
        <f t="shared" si="142"/>
        <v/>
      </c>
      <c r="FG789" s="1854" t="str">
        <f t="shared" si="143"/>
        <v/>
      </c>
      <c r="FH789" s="1854" t="str">
        <f t="shared" si="144"/>
        <v/>
      </c>
      <c r="FI789" s="1854" t="str">
        <f t="shared" si="145"/>
        <v/>
      </c>
      <c r="FJ789" s="1854" t="str">
        <f t="shared" si="146"/>
        <v/>
      </c>
      <c r="FK789" s="1854" t="str">
        <f t="shared" si="147"/>
        <v/>
      </c>
      <c r="FL789" s="1854" t="str">
        <f t="shared" si="148"/>
        <v/>
      </c>
      <c r="FM789" s="1854" t="str">
        <f t="shared" si="149"/>
        <v/>
      </c>
      <c r="FN789" s="1854" t="str">
        <f t="shared" si="150"/>
        <v/>
      </c>
      <c r="FO789" s="1854" t="str">
        <f t="shared" si="151"/>
        <v/>
      </c>
      <c r="FP789" s="1854" t="str">
        <f t="shared" si="152"/>
        <v/>
      </c>
      <c r="FQ789" s="1854" t="str">
        <f t="shared" si="153"/>
        <v/>
      </c>
      <c r="FR789" s="1854" t="str">
        <f t="shared" si="154"/>
        <v/>
      </c>
      <c r="FS789" s="1854" t="str">
        <f t="shared" si="155"/>
        <v/>
      </c>
      <c r="FT789" s="1854" t="str">
        <f t="shared" si="156"/>
        <v/>
      </c>
      <c r="FU789" s="1854" t="str">
        <f t="shared" si="157"/>
        <v/>
      </c>
      <c r="FV789" s="1854" t="str">
        <f t="shared" si="158"/>
        <v/>
      </c>
      <c r="FW789" s="1854" t="str">
        <f t="shared" si="159"/>
        <v/>
      </c>
      <c r="FX789" s="1854" t="str">
        <f t="shared" si="160"/>
        <v/>
      </c>
      <c r="FY789" s="1854" t="str">
        <f t="shared" si="161"/>
        <v/>
      </c>
      <c r="FZ789" s="1854" t="str">
        <f t="shared" si="162"/>
        <v/>
      </c>
      <c r="GA789" s="1854" t="str">
        <f t="shared" si="163"/>
        <v/>
      </c>
      <c r="GB789" s="1854" t="str">
        <f t="shared" si="164"/>
        <v/>
      </c>
      <c r="GC789" s="1854" t="str">
        <f t="shared" si="165"/>
        <v/>
      </c>
      <c r="GD789" s="1854" t="str">
        <f t="shared" si="166"/>
        <v/>
      </c>
      <c r="GE789" s="1854" t="str">
        <f t="shared" si="167"/>
        <v/>
      </c>
      <c r="GF789" s="1854" t="str">
        <f t="shared" si="168"/>
        <v/>
      </c>
      <c r="GG789" s="1854" t="str">
        <f t="shared" si="169"/>
        <v/>
      </c>
      <c r="GH789" s="1854" t="str">
        <f t="shared" si="170"/>
        <v/>
      </c>
      <c r="GI789" s="1854" t="str">
        <f t="shared" si="171"/>
        <v/>
      </c>
      <c r="GJ789" s="1854" t="str">
        <f t="shared" si="172"/>
        <v/>
      </c>
      <c r="GK789" s="1854" t="str">
        <f t="shared" si="173"/>
        <v/>
      </c>
      <c r="GL789" s="1854" t="str">
        <f t="shared" si="174"/>
        <v/>
      </c>
      <c r="GM789" s="1854" t="str">
        <f t="shared" si="175"/>
        <v/>
      </c>
      <c r="GN789" s="1854" t="str">
        <f t="shared" si="176"/>
        <v/>
      </c>
      <c r="GO789" s="1854" t="str">
        <f t="shared" si="177"/>
        <v/>
      </c>
      <c r="GP789" s="1854" t="str">
        <f t="shared" si="178"/>
        <v/>
      </c>
      <c r="GQ789" s="1854" t="str">
        <f t="shared" si="179"/>
        <v/>
      </c>
      <c r="GR789" s="1854" t="str">
        <f t="shared" si="180"/>
        <v/>
      </c>
      <c r="GS789" s="1854" t="str">
        <f t="shared" si="181"/>
        <v/>
      </c>
      <c r="GT789" s="1854" t="str">
        <f t="shared" si="182"/>
        <v/>
      </c>
      <c r="GU789" s="1854" t="str">
        <f t="shared" si="183"/>
        <v/>
      </c>
      <c r="GV789" s="1854" t="str">
        <f t="shared" si="184"/>
        <v/>
      </c>
      <c r="GW789" s="1854" t="str">
        <f t="shared" si="185"/>
        <v/>
      </c>
      <c r="GX789" s="1854" t="str">
        <f t="shared" si="186"/>
        <v/>
      </c>
      <c r="GY789" s="1854" t="str">
        <f t="shared" si="187"/>
        <v/>
      </c>
      <c r="GZ789" s="1854" t="str">
        <f t="shared" si="188"/>
        <v/>
      </c>
      <c r="HA789" s="1854" t="str">
        <f t="shared" si="189"/>
        <v/>
      </c>
      <c r="HB789" s="1854" t="str">
        <f t="shared" si="190"/>
        <v/>
      </c>
      <c r="HC789" s="1854" t="str">
        <f t="shared" si="191"/>
        <v/>
      </c>
      <c r="HD789" s="1854" t="str">
        <f t="shared" si="192"/>
        <v/>
      </c>
      <c r="HE789" s="1854" t="str">
        <f t="shared" si="193"/>
        <v/>
      </c>
      <c r="HF789" s="1854" t="str">
        <f t="shared" si="194"/>
        <v/>
      </c>
      <c r="HG789" s="1854" t="str">
        <f t="shared" si="195"/>
        <v/>
      </c>
      <c r="HH789" s="1854" t="str">
        <f t="shared" si="196"/>
        <v/>
      </c>
      <c r="HI789" s="1854" t="str">
        <f t="shared" si="197"/>
        <v/>
      </c>
      <c r="HJ789" s="1854" t="str">
        <f t="shared" si="198"/>
        <v/>
      </c>
      <c r="HK789" s="1854" t="str">
        <f t="shared" si="199"/>
        <v/>
      </c>
      <c r="HL789" s="1854" t="str">
        <f t="shared" si="200"/>
        <v/>
      </c>
      <c r="HM789" s="1854" t="str">
        <f t="shared" si="201"/>
        <v/>
      </c>
      <c r="HN789" s="1854" t="str">
        <f t="shared" si="202"/>
        <v/>
      </c>
      <c r="HO789" s="1854" t="str">
        <f t="shared" si="203"/>
        <v/>
      </c>
      <c r="HP789" s="1854" t="str">
        <f t="shared" si="204"/>
        <v/>
      </c>
      <c r="HQ789" s="1854" t="str">
        <f t="shared" si="205"/>
        <v/>
      </c>
      <c r="HR789" s="1854" t="str">
        <f t="shared" si="206"/>
        <v/>
      </c>
      <c r="HS789" s="1854" t="str">
        <f t="shared" si="207"/>
        <v/>
      </c>
      <c r="HT789" s="1854" t="str">
        <f t="shared" si="208"/>
        <v/>
      </c>
      <c r="HU789" s="1854" t="str">
        <f t="shared" si="209"/>
        <v/>
      </c>
      <c r="HV789" s="1854" t="str">
        <f t="shared" si="210"/>
        <v/>
      </c>
      <c r="HW789" s="1854" t="str">
        <f t="shared" si="211"/>
        <v/>
      </c>
      <c r="HX789" s="1854" t="str">
        <f t="shared" si="212"/>
        <v/>
      </c>
      <c r="HY789" s="1854" t="str">
        <f t="shared" si="213"/>
        <v/>
      </c>
      <c r="HZ789" s="1854" t="str">
        <f t="shared" si="214"/>
        <v/>
      </c>
      <c r="IA789" s="1854" t="str">
        <f t="shared" si="215"/>
        <v/>
      </c>
      <c r="IB789" s="1854" t="str">
        <f t="shared" si="216"/>
        <v/>
      </c>
      <c r="IC789" s="1854" t="str">
        <f t="shared" si="217"/>
        <v/>
      </c>
      <c r="ID789" s="1826" t="str">
        <f t="shared" si="218"/>
        <v/>
      </c>
      <c r="IE789" s="1826" t="str">
        <f t="shared" si="219"/>
        <v/>
      </c>
      <c r="IF789" s="1826" t="str">
        <f t="shared" si="220"/>
        <v/>
      </c>
      <c r="IG789" s="1826" t="str">
        <f t="shared" si="221"/>
        <v/>
      </c>
      <c r="IH789" s="1826"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1824">
        <f t="shared" si="243"/>
        <v>0</v>
      </c>
      <c r="JD789" s="1824">
        <f t="shared" si="244"/>
        <v>0</v>
      </c>
      <c r="JE789" s="1824">
        <f t="shared" si="245"/>
        <v>0</v>
      </c>
      <c r="JF789" s="1824">
        <f t="shared" si="246"/>
        <v>0</v>
      </c>
      <c r="JG789" s="1824">
        <f t="shared" si="247"/>
        <v>0</v>
      </c>
      <c r="JH789" s="1824">
        <f t="shared" si="248"/>
        <v>0</v>
      </c>
      <c r="JI789" s="1824">
        <f t="shared" si="249"/>
        <v>0</v>
      </c>
      <c r="JJ789" s="1824">
        <f t="shared" si="250"/>
        <v>0</v>
      </c>
      <c r="JK789" s="1824">
        <f t="shared" si="251"/>
        <v>0</v>
      </c>
      <c r="JL789" s="1824">
        <f t="shared" si="252"/>
        <v>0</v>
      </c>
      <c r="JM789" s="1824">
        <f t="shared" si="253"/>
        <v>0</v>
      </c>
      <c r="JN789" s="1824">
        <f t="shared" si="254"/>
        <v>0</v>
      </c>
      <c r="JO789" s="1824">
        <f t="shared" si="255"/>
        <v>0</v>
      </c>
      <c r="JP789" s="1824">
        <f t="shared" si="256"/>
        <v>0</v>
      </c>
      <c r="JQ789" s="1824">
        <f t="shared" si="257"/>
        <v>0</v>
      </c>
    </row>
    <row r="790" spans="1:277" ht="12" customHeight="1">
      <c r="A790" s="1837" t="str">
        <f t="shared" si="0"/>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1"/>
        <v>0</v>
      </c>
      <c r="L790" s="1851">
        <f t="shared" si="2"/>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1854" t="str">
        <f t="shared" si="133"/>
        <v/>
      </c>
      <c r="EX790" s="1854" t="str">
        <f t="shared" si="134"/>
        <v/>
      </c>
      <c r="EY790" s="1854" t="str">
        <f t="shared" si="135"/>
        <v/>
      </c>
      <c r="EZ790" s="1854" t="str">
        <f t="shared" si="136"/>
        <v/>
      </c>
      <c r="FA790" s="1854" t="str">
        <f t="shared" si="137"/>
        <v/>
      </c>
      <c r="FB790" s="1854" t="str">
        <f t="shared" si="138"/>
        <v/>
      </c>
      <c r="FC790" s="1854" t="str">
        <f t="shared" si="139"/>
        <v/>
      </c>
      <c r="FD790" s="1854" t="str">
        <f t="shared" si="140"/>
        <v/>
      </c>
      <c r="FE790" s="1854" t="str">
        <f t="shared" si="141"/>
        <v/>
      </c>
      <c r="FF790" s="1854" t="str">
        <f t="shared" si="142"/>
        <v/>
      </c>
      <c r="FG790" s="1854" t="str">
        <f t="shared" si="143"/>
        <v/>
      </c>
      <c r="FH790" s="1854" t="str">
        <f t="shared" si="144"/>
        <v/>
      </c>
      <c r="FI790" s="1854" t="str">
        <f t="shared" si="145"/>
        <v/>
      </c>
      <c r="FJ790" s="1854" t="str">
        <f t="shared" si="146"/>
        <v/>
      </c>
      <c r="FK790" s="1854" t="str">
        <f t="shared" si="147"/>
        <v/>
      </c>
      <c r="FL790" s="1854" t="str">
        <f t="shared" si="148"/>
        <v/>
      </c>
      <c r="FM790" s="1854" t="str">
        <f t="shared" si="149"/>
        <v/>
      </c>
      <c r="FN790" s="1854" t="str">
        <f t="shared" si="150"/>
        <v/>
      </c>
      <c r="FO790" s="1854" t="str">
        <f t="shared" si="151"/>
        <v/>
      </c>
      <c r="FP790" s="1854" t="str">
        <f t="shared" si="152"/>
        <v/>
      </c>
      <c r="FQ790" s="1854" t="str">
        <f t="shared" si="153"/>
        <v/>
      </c>
      <c r="FR790" s="1854" t="str">
        <f t="shared" si="154"/>
        <v/>
      </c>
      <c r="FS790" s="1854" t="str">
        <f t="shared" si="155"/>
        <v/>
      </c>
      <c r="FT790" s="1854" t="str">
        <f t="shared" si="156"/>
        <v/>
      </c>
      <c r="FU790" s="1854" t="str">
        <f t="shared" si="157"/>
        <v/>
      </c>
      <c r="FV790" s="1854" t="str">
        <f t="shared" si="158"/>
        <v/>
      </c>
      <c r="FW790" s="1854" t="str">
        <f t="shared" si="159"/>
        <v/>
      </c>
      <c r="FX790" s="1854" t="str">
        <f t="shared" si="160"/>
        <v/>
      </c>
      <c r="FY790" s="1854" t="str">
        <f t="shared" si="161"/>
        <v/>
      </c>
      <c r="FZ790" s="1854" t="str">
        <f t="shared" si="162"/>
        <v/>
      </c>
      <c r="GA790" s="1854" t="str">
        <f t="shared" si="163"/>
        <v/>
      </c>
      <c r="GB790" s="1854" t="str">
        <f t="shared" si="164"/>
        <v/>
      </c>
      <c r="GC790" s="1854" t="str">
        <f t="shared" si="165"/>
        <v/>
      </c>
      <c r="GD790" s="1854" t="str">
        <f t="shared" si="166"/>
        <v/>
      </c>
      <c r="GE790" s="1854" t="str">
        <f t="shared" si="167"/>
        <v/>
      </c>
      <c r="GF790" s="1854" t="str">
        <f t="shared" si="168"/>
        <v/>
      </c>
      <c r="GG790" s="1854" t="str">
        <f t="shared" si="169"/>
        <v/>
      </c>
      <c r="GH790" s="1854" t="str">
        <f t="shared" si="170"/>
        <v/>
      </c>
      <c r="GI790" s="1854" t="str">
        <f t="shared" si="171"/>
        <v/>
      </c>
      <c r="GJ790" s="1854" t="str">
        <f t="shared" si="172"/>
        <v/>
      </c>
      <c r="GK790" s="1854" t="str">
        <f t="shared" si="173"/>
        <v/>
      </c>
      <c r="GL790" s="1854" t="str">
        <f t="shared" si="174"/>
        <v/>
      </c>
      <c r="GM790" s="1854" t="str">
        <f t="shared" si="175"/>
        <v/>
      </c>
      <c r="GN790" s="1854" t="str">
        <f t="shared" si="176"/>
        <v/>
      </c>
      <c r="GO790" s="1854" t="str">
        <f t="shared" si="177"/>
        <v/>
      </c>
      <c r="GP790" s="1854" t="str">
        <f t="shared" si="178"/>
        <v/>
      </c>
      <c r="GQ790" s="1854" t="str">
        <f t="shared" si="179"/>
        <v/>
      </c>
      <c r="GR790" s="1854" t="str">
        <f t="shared" si="180"/>
        <v/>
      </c>
      <c r="GS790" s="1854" t="str">
        <f t="shared" si="181"/>
        <v/>
      </c>
      <c r="GT790" s="1854" t="str">
        <f t="shared" si="182"/>
        <v/>
      </c>
      <c r="GU790" s="1854" t="str">
        <f t="shared" si="183"/>
        <v/>
      </c>
      <c r="GV790" s="1854" t="str">
        <f t="shared" si="184"/>
        <v/>
      </c>
      <c r="GW790" s="1854" t="str">
        <f t="shared" si="185"/>
        <v/>
      </c>
      <c r="GX790" s="1854" t="str">
        <f t="shared" si="186"/>
        <v/>
      </c>
      <c r="GY790" s="1854" t="str">
        <f t="shared" si="187"/>
        <v/>
      </c>
      <c r="GZ790" s="1854" t="str">
        <f t="shared" si="188"/>
        <v/>
      </c>
      <c r="HA790" s="1854" t="str">
        <f t="shared" si="189"/>
        <v/>
      </c>
      <c r="HB790" s="1854" t="str">
        <f t="shared" si="190"/>
        <v/>
      </c>
      <c r="HC790" s="1854" t="str">
        <f t="shared" si="191"/>
        <v/>
      </c>
      <c r="HD790" s="1854" t="str">
        <f t="shared" si="192"/>
        <v/>
      </c>
      <c r="HE790" s="1854" t="str">
        <f t="shared" si="193"/>
        <v/>
      </c>
      <c r="HF790" s="1854" t="str">
        <f t="shared" si="194"/>
        <v/>
      </c>
      <c r="HG790" s="1854" t="str">
        <f t="shared" si="195"/>
        <v/>
      </c>
      <c r="HH790" s="1854" t="str">
        <f t="shared" si="196"/>
        <v/>
      </c>
      <c r="HI790" s="1854" t="str">
        <f t="shared" si="197"/>
        <v/>
      </c>
      <c r="HJ790" s="1854" t="str">
        <f t="shared" si="198"/>
        <v/>
      </c>
      <c r="HK790" s="1854" t="str">
        <f t="shared" si="199"/>
        <v/>
      </c>
      <c r="HL790" s="1854" t="str">
        <f t="shared" si="200"/>
        <v/>
      </c>
      <c r="HM790" s="1854" t="str">
        <f t="shared" si="201"/>
        <v/>
      </c>
      <c r="HN790" s="1854" t="str">
        <f t="shared" si="202"/>
        <v/>
      </c>
      <c r="HO790" s="1854" t="str">
        <f t="shared" si="203"/>
        <v/>
      </c>
      <c r="HP790" s="1854" t="str">
        <f t="shared" si="204"/>
        <v/>
      </c>
      <c r="HQ790" s="1854" t="str">
        <f t="shared" si="205"/>
        <v/>
      </c>
      <c r="HR790" s="1854" t="str">
        <f t="shared" si="206"/>
        <v/>
      </c>
      <c r="HS790" s="1854" t="str">
        <f t="shared" si="207"/>
        <v/>
      </c>
      <c r="HT790" s="1854" t="str">
        <f t="shared" si="208"/>
        <v/>
      </c>
      <c r="HU790" s="1854" t="str">
        <f t="shared" si="209"/>
        <v/>
      </c>
      <c r="HV790" s="1854" t="str">
        <f t="shared" si="210"/>
        <v/>
      </c>
      <c r="HW790" s="1854" t="str">
        <f t="shared" si="211"/>
        <v/>
      </c>
      <c r="HX790" s="1854" t="str">
        <f t="shared" si="212"/>
        <v/>
      </c>
      <c r="HY790" s="1854" t="str">
        <f t="shared" si="213"/>
        <v/>
      </c>
      <c r="HZ790" s="1854" t="str">
        <f t="shared" si="214"/>
        <v/>
      </c>
      <c r="IA790" s="1854" t="str">
        <f t="shared" si="215"/>
        <v/>
      </c>
      <c r="IB790" s="1854" t="str">
        <f t="shared" si="216"/>
        <v/>
      </c>
      <c r="IC790" s="1854" t="str">
        <f t="shared" si="217"/>
        <v/>
      </c>
      <c r="ID790" s="1826" t="str">
        <f t="shared" si="218"/>
        <v/>
      </c>
      <c r="IE790" s="1826" t="str">
        <f t="shared" si="219"/>
        <v/>
      </c>
      <c r="IF790" s="1826" t="str">
        <f t="shared" si="220"/>
        <v/>
      </c>
      <c r="IG790" s="1826" t="str">
        <f t="shared" si="221"/>
        <v/>
      </c>
      <c r="IH790" s="1826"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1824">
        <f t="shared" si="243"/>
        <v>0</v>
      </c>
      <c r="JD790" s="1824">
        <f t="shared" si="244"/>
        <v>0</v>
      </c>
      <c r="JE790" s="1824">
        <f t="shared" si="245"/>
        <v>0</v>
      </c>
      <c r="JF790" s="1824">
        <f t="shared" si="246"/>
        <v>0</v>
      </c>
      <c r="JG790" s="1824">
        <f t="shared" si="247"/>
        <v>0</v>
      </c>
      <c r="JH790" s="1824">
        <f t="shared" si="248"/>
        <v>0</v>
      </c>
      <c r="JI790" s="1824">
        <f t="shared" si="249"/>
        <v>0</v>
      </c>
      <c r="JJ790" s="1824">
        <f t="shared" si="250"/>
        <v>0</v>
      </c>
      <c r="JK790" s="1824">
        <f t="shared" si="251"/>
        <v>0</v>
      </c>
      <c r="JL790" s="1824">
        <f t="shared" si="252"/>
        <v>0</v>
      </c>
      <c r="JM790" s="1824">
        <f t="shared" si="253"/>
        <v>0</v>
      </c>
      <c r="JN790" s="1824">
        <f t="shared" si="254"/>
        <v>0</v>
      </c>
      <c r="JO790" s="1824">
        <f t="shared" si="255"/>
        <v>0</v>
      </c>
      <c r="JP790" s="1824">
        <f t="shared" si="256"/>
        <v>0</v>
      </c>
      <c r="JQ790" s="1824">
        <f t="shared" si="257"/>
        <v>0</v>
      </c>
    </row>
    <row r="791" spans="1:277" ht="12" customHeight="1">
      <c r="A791" s="1837" t="str">
        <f t="shared" si="0"/>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1"/>
        <v>0</v>
      </c>
      <c r="L791" s="1851">
        <f t="shared" si="2"/>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1854" t="str">
        <f t="shared" si="133"/>
        <v/>
      </c>
      <c r="EX791" s="1854" t="str">
        <f t="shared" si="134"/>
        <v/>
      </c>
      <c r="EY791" s="1854" t="str">
        <f t="shared" si="135"/>
        <v/>
      </c>
      <c r="EZ791" s="1854" t="str">
        <f t="shared" si="136"/>
        <v/>
      </c>
      <c r="FA791" s="1854" t="str">
        <f t="shared" si="137"/>
        <v/>
      </c>
      <c r="FB791" s="1854" t="str">
        <f t="shared" si="138"/>
        <v/>
      </c>
      <c r="FC791" s="1854" t="str">
        <f t="shared" si="139"/>
        <v/>
      </c>
      <c r="FD791" s="1854" t="str">
        <f t="shared" si="140"/>
        <v/>
      </c>
      <c r="FE791" s="1854" t="str">
        <f t="shared" si="141"/>
        <v/>
      </c>
      <c r="FF791" s="1854" t="str">
        <f t="shared" si="142"/>
        <v/>
      </c>
      <c r="FG791" s="1854" t="str">
        <f t="shared" si="143"/>
        <v/>
      </c>
      <c r="FH791" s="1854" t="str">
        <f t="shared" si="144"/>
        <v/>
      </c>
      <c r="FI791" s="1854" t="str">
        <f t="shared" si="145"/>
        <v/>
      </c>
      <c r="FJ791" s="1854" t="str">
        <f t="shared" si="146"/>
        <v/>
      </c>
      <c r="FK791" s="1854" t="str">
        <f t="shared" si="147"/>
        <v/>
      </c>
      <c r="FL791" s="1854" t="str">
        <f t="shared" si="148"/>
        <v/>
      </c>
      <c r="FM791" s="1854" t="str">
        <f t="shared" si="149"/>
        <v/>
      </c>
      <c r="FN791" s="1854" t="str">
        <f t="shared" si="150"/>
        <v/>
      </c>
      <c r="FO791" s="1854" t="str">
        <f t="shared" si="151"/>
        <v/>
      </c>
      <c r="FP791" s="1854" t="str">
        <f t="shared" si="152"/>
        <v/>
      </c>
      <c r="FQ791" s="1854" t="str">
        <f t="shared" si="153"/>
        <v/>
      </c>
      <c r="FR791" s="1854" t="str">
        <f t="shared" si="154"/>
        <v/>
      </c>
      <c r="FS791" s="1854" t="str">
        <f t="shared" si="155"/>
        <v/>
      </c>
      <c r="FT791" s="1854" t="str">
        <f t="shared" si="156"/>
        <v/>
      </c>
      <c r="FU791" s="1854" t="str">
        <f t="shared" si="157"/>
        <v/>
      </c>
      <c r="FV791" s="1854" t="str">
        <f t="shared" si="158"/>
        <v/>
      </c>
      <c r="FW791" s="1854" t="str">
        <f t="shared" si="159"/>
        <v/>
      </c>
      <c r="FX791" s="1854" t="str">
        <f t="shared" si="160"/>
        <v/>
      </c>
      <c r="FY791" s="1854" t="str">
        <f t="shared" si="161"/>
        <v/>
      </c>
      <c r="FZ791" s="1854" t="str">
        <f t="shared" si="162"/>
        <v/>
      </c>
      <c r="GA791" s="1854" t="str">
        <f t="shared" si="163"/>
        <v/>
      </c>
      <c r="GB791" s="1854" t="str">
        <f t="shared" si="164"/>
        <v/>
      </c>
      <c r="GC791" s="1854" t="str">
        <f t="shared" si="165"/>
        <v/>
      </c>
      <c r="GD791" s="1854" t="str">
        <f t="shared" si="166"/>
        <v/>
      </c>
      <c r="GE791" s="1854" t="str">
        <f t="shared" si="167"/>
        <v/>
      </c>
      <c r="GF791" s="1854" t="str">
        <f t="shared" si="168"/>
        <v/>
      </c>
      <c r="GG791" s="1854" t="str">
        <f t="shared" si="169"/>
        <v/>
      </c>
      <c r="GH791" s="1854" t="str">
        <f t="shared" si="170"/>
        <v/>
      </c>
      <c r="GI791" s="1854" t="str">
        <f t="shared" si="171"/>
        <v/>
      </c>
      <c r="GJ791" s="1854" t="str">
        <f t="shared" si="172"/>
        <v/>
      </c>
      <c r="GK791" s="1854" t="str">
        <f t="shared" si="173"/>
        <v/>
      </c>
      <c r="GL791" s="1854" t="str">
        <f t="shared" si="174"/>
        <v/>
      </c>
      <c r="GM791" s="1854" t="str">
        <f t="shared" si="175"/>
        <v/>
      </c>
      <c r="GN791" s="1854" t="str">
        <f t="shared" si="176"/>
        <v/>
      </c>
      <c r="GO791" s="1854" t="str">
        <f t="shared" si="177"/>
        <v/>
      </c>
      <c r="GP791" s="1854" t="str">
        <f t="shared" si="178"/>
        <v/>
      </c>
      <c r="GQ791" s="1854" t="str">
        <f t="shared" si="179"/>
        <v/>
      </c>
      <c r="GR791" s="1854" t="str">
        <f t="shared" si="180"/>
        <v/>
      </c>
      <c r="GS791" s="1854" t="str">
        <f t="shared" si="181"/>
        <v/>
      </c>
      <c r="GT791" s="1854" t="str">
        <f t="shared" si="182"/>
        <v/>
      </c>
      <c r="GU791" s="1854" t="str">
        <f t="shared" si="183"/>
        <v/>
      </c>
      <c r="GV791" s="1854" t="str">
        <f t="shared" si="184"/>
        <v/>
      </c>
      <c r="GW791" s="1854" t="str">
        <f t="shared" si="185"/>
        <v/>
      </c>
      <c r="GX791" s="1854" t="str">
        <f t="shared" si="186"/>
        <v/>
      </c>
      <c r="GY791" s="1854" t="str">
        <f t="shared" si="187"/>
        <v/>
      </c>
      <c r="GZ791" s="1854" t="str">
        <f t="shared" si="188"/>
        <v/>
      </c>
      <c r="HA791" s="1854" t="str">
        <f t="shared" si="189"/>
        <v/>
      </c>
      <c r="HB791" s="1854" t="str">
        <f t="shared" si="190"/>
        <v/>
      </c>
      <c r="HC791" s="1854" t="str">
        <f t="shared" si="191"/>
        <v/>
      </c>
      <c r="HD791" s="1854" t="str">
        <f t="shared" si="192"/>
        <v/>
      </c>
      <c r="HE791" s="1854" t="str">
        <f t="shared" si="193"/>
        <v/>
      </c>
      <c r="HF791" s="1854" t="str">
        <f t="shared" si="194"/>
        <v/>
      </c>
      <c r="HG791" s="1854" t="str">
        <f t="shared" si="195"/>
        <v/>
      </c>
      <c r="HH791" s="1854" t="str">
        <f t="shared" si="196"/>
        <v/>
      </c>
      <c r="HI791" s="1854" t="str">
        <f t="shared" si="197"/>
        <v/>
      </c>
      <c r="HJ791" s="1854" t="str">
        <f t="shared" si="198"/>
        <v/>
      </c>
      <c r="HK791" s="1854" t="str">
        <f t="shared" si="199"/>
        <v/>
      </c>
      <c r="HL791" s="1854" t="str">
        <f t="shared" si="200"/>
        <v/>
      </c>
      <c r="HM791" s="1854" t="str">
        <f t="shared" si="201"/>
        <v/>
      </c>
      <c r="HN791" s="1854" t="str">
        <f t="shared" si="202"/>
        <v/>
      </c>
      <c r="HO791" s="1854" t="str">
        <f t="shared" si="203"/>
        <v/>
      </c>
      <c r="HP791" s="1854" t="str">
        <f t="shared" si="204"/>
        <v/>
      </c>
      <c r="HQ791" s="1854" t="str">
        <f t="shared" si="205"/>
        <v/>
      </c>
      <c r="HR791" s="1854" t="str">
        <f t="shared" si="206"/>
        <v/>
      </c>
      <c r="HS791" s="1854" t="str">
        <f t="shared" si="207"/>
        <v/>
      </c>
      <c r="HT791" s="1854" t="str">
        <f t="shared" si="208"/>
        <v/>
      </c>
      <c r="HU791" s="1854" t="str">
        <f t="shared" si="209"/>
        <v/>
      </c>
      <c r="HV791" s="1854" t="str">
        <f t="shared" si="210"/>
        <v/>
      </c>
      <c r="HW791" s="1854" t="str">
        <f t="shared" si="211"/>
        <v/>
      </c>
      <c r="HX791" s="1854" t="str">
        <f t="shared" si="212"/>
        <v/>
      </c>
      <c r="HY791" s="1854" t="str">
        <f t="shared" si="213"/>
        <v/>
      </c>
      <c r="HZ791" s="1854" t="str">
        <f t="shared" si="214"/>
        <v/>
      </c>
      <c r="IA791" s="1854" t="str">
        <f t="shared" si="215"/>
        <v/>
      </c>
      <c r="IB791" s="1854" t="str">
        <f t="shared" si="216"/>
        <v/>
      </c>
      <c r="IC791" s="1854" t="str">
        <f t="shared" si="217"/>
        <v/>
      </c>
      <c r="ID791" s="1826" t="str">
        <f t="shared" si="218"/>
        <v/>
      </c>
      <c r="IE791" s="1826" t="str">
        <f t="shared" si="219"/>
        <v/>
      </c>
      <c r="IF791" s="1826" t="str">
        <f t="shared" si="220"/>
        <v/>
      </c>
      <c r="IG791" s="1826" t="str">
        <f t="shared" si="221"/>
        <v/>
      </c>
      <c r="IH791" s="1826"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1824">
        <f t="shared" si="243"/>
        <v>0</v>
      </c>
      <c r="JD791" s="1824">
        <f t="shared" si="244"/>
        <v>0</v>
      </c>
      <c r="JE791" s="1824">
        <f t="shared" si="245"/>
        <v>0</v>
      </c>
      <c r="JF791" s="1824">
        <f t="shared" si="246"/>
        <v>0</v>
      </c>
      <c r="JG791" s="1824">
        <f t="shared" si="247"/>
        <v>0</v>
      </c>
      <c r="JH791" s="1824">
        <f t="shared" si="248"/>
        <v>0</v>
      </c>
      <c r="JI791" s="1824">
        <f t="shared" si="249"/>
        <v>0</v>
      </c>
      <c r="JJ791" s="1824">
        <f t="shared" si="250"/>
        <v>0</v>
      </c>
      <c r="JK791" s="1824">
        <f t="shared" si="251"/>
        <v>0</v>
      </c>
      <c r="JL791" s="1824">
        <f t="shared" si="252"/>
        <v>0</v>
      </c>
      <c r="JM791" s="1824">
        <f t="shared" si="253"/>
        <v>0</v>
      </c>
      <c r="JN791" s="1824">
        <f t="shared" si="254"/>
        <v>0</v>
      </c>
      <c r="JO791" s="1824">
        <f t="shared" si="255"/>
        <v>0</v>
      </c>
      <c r="JP791" s="1824">
        <f t="shared" si="256"/>
        <v>0</v>
      </c>
      <c r="JQ791" s="1824">
        <f t="shared" si="257"/>
        <v>0</v>
      </c>
    </row>
    <row r="792" spans="1:277" ht="12" customHeight="1">
      <c r="A792" s="1837" t="str">
        <f t="shared" si="0"/>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1"/>
        <v>0</v>
      </c>
      <c r="L792" s="1851">
        <f t="shared" si="2"/>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1854" t="str">
        <f t="shared" si="133"/>
        <v/>
      </c>
      <c r="EX792" s="1854" t="str">
        <f t="shared" si="134"/>
        <v/>
      </c>
      <c r="EY792" s="1854" t="str">
        <f t="shared" si="135"/>
        <v/>
      </c>
      <c r="EZ792" s="1854" t="str">
        <f t="shared" si="136"/>
        <v/>
      </c>
      <c r="FA792" s="1854" t="str">
        <f t="shared" si="137"/>
        <v/>
      </c>
      <c r="FB792" s="1854" t="str">
        <f t="shared" si="138"/>
        <v/>
      </c>
      <c r="FC792" s="1854" t="str">
        <f t="shared" si="139"/>
        <v/>
      </c>
      <c r="FD792" s="1854" t="str">
        <f t="shared" si="140"/>
        <v/>
      </c>
      <c r="FE792" s="1854" t="str">
        <f t="shared" si="141"/>
        <v/>
      </c>
      <c r="FF792" s="1854" t="str">
        <f t="shared" si="142"/>
        <v/>
      </c>
      <c r="FG792" s="1854" t="str">
        <f t="shared" si="143"/>
        <v/>
      </c>
      <c r="FH792" s="1854" t="str">
        <f t="shared" si="144"/>
        <v/>
      </c>
      <c r="FI792" s="1854" t="str">
        <f t="shared" si="145"/>
        <v/>
      </c>
      <c r="FJ792" s="1854" t="str">
        <f t="shared" si="146"/>
        <v/>
      </c>
      <c r="FK792" s="1854" t="str">
        <f t="shared" si="147"/>
        <v/>
      </c>
      <c r="FL792" s="1854" t="str">
        <f t="shared" si="148"/>
        <v/>
      </c>
      <c r="FM792" s="1854" t="str">
        <f t="shared" si="149"/>
        <v/>
      </c>
      <c r="FN792" s="1854" t="str">
        <f t="shared" si="150"/>
        <v/>
      </c>
      <c r="FO792" s="1854" t="str">
        <f t="shared" si="151"/>
        <v/>
      </c>
      <c r="FP792" s="1854" t="str">
        <f t="shared" si="152"/>
        <v/>
      </c>
      <c r="FQ792" s="1854" t="str">
        <f t="shared" si="153"/>
        <v/>
      </c>
      <c r="FR792" s="1854" t="str">
        <f t="shared" si="154"/>
        <v/>
      </c>
      <c r="FS792" s="1854" t="str">
        <f t="shared" si="155"/>
        <v/>
      </c>
      <c r="FT792" s="1854" t="str">
        <f t="shared" si="156"/>
        <v/>
      </c>
      <c r="FU792" s="1854" t="str">
        <f t="shared" si="157"/>
        <v/>
      </c>
      <c r="FV792" s="1854" t="str">
        <f t="shared" si="158"/>
        <v/>
      </c>
      <c r="FW792" s="1854" t="str">
        <f t="shared" si="159"/>
        <v/>
      </c>
      <c r="FX792" s="1854" t="str">
        <f t="shared" si="160"/>
        <v/>
      </c>
      <c r="FY792" s="1854" t="str">
        <f t="shared" si="161"/>
        <v/>
      </c>
      <c r="FZ792" s="1854" t="str">
        <f t="shared" si="162"/>
        <v/>
      </c>
      <c r="GA792" s="1854" t="str">
        <f t="shared" si="163"/>
        <v/>
      </c>
      <c r="GB792" s="1854" t="str">
        <f t="shared" si="164"/>
        <v/>
      </c>
      <c r="GC792" s="1854" t="str">
        <f t="shared" si="165"/>
        <v/>
      </c>
      <c r="GD792" s="1854" t="str">
        <f t="shared" si="166"/>
        <v/>
      </c>
      <c r="GE792" s="1854" t="str">
        <f t="shared" si="167"/>
        <v/>
      </c>
      <c r="GF792" s="1854" t="str">
        <f t="shared" si="168"/>
        <v/>
      </c>
      <c r="GG792" s="1854" t="str">
        <f t="shared" si="169"/>
        <v/>
      </c>
      <c r="GH792" s="1854" t="str">
        <f t="shared" si="170"/>
        <v/>
      </c>
      <c r="GI792" s="1854" t="str">
        <f t="shared" si="171"/>
        <v/>
      </c>
      <c r="GJ792" s="1854" t="str">
        <f t="shared" si="172"/>
        <v/>
      </c>
      <c r="GK792" s="1854" t="str">
        <f t="shared" si="173"/>
        <v/>
      </c>
      <c r="GL792" s="1854" t="str">
        <f t="shared" si="174"/>
        <v/>
      </c>
      <c r="GM792" s="1854" t="str">
        <f t="shared" si="175"/>
        <v/>
      </c>
      <c r="GN792" s="1854" t="str">
        <f t="shared" si="176"/>
        <v/>
      </c>
      <c r="GO792" s="1854" t="str">
        <f t="shared" si="177"/>
        <v/>
      </c>
      <c r="GP792" s="1854" t="str">
        <f t="shared" si="178"/>
        <v/>
      </c>
      <c r="GQ792" s="1854" t="str">
        <f t="shared" si="179"/>
        <v/>
      </c>
      <c r="GR792" s="1854" t="str">
        <f t="shared" si="180"/>
        <v/>
      </c>
      <c r="GS792" s="1854" t="str">
        <f t="shared" si="181"/>
        <v/>
      </c>
      <c r="GT792" s="1854" t="str">
        <f t="shared" si="182"/>
        <v/>
      </c>
      <c r="GU792" s="1854" t="str">
        <f t="shared" si="183"/>
        <v/>
      </c>
      <c r="GV792" s="1854" t="str">
        <f t="shared" si="184"/>
        <v/>
      </c>
      <c r="GW792" s="1854" t="str">
        <f t="shared" si="185"/>
        <v/>
      </c>
      <c r="GX792" s="1854" t="str">
        <f t="shared" si="186"/>
        <v/>
      </c>
      <c r="GY792" s="1854" t="str">
        <f t="shared" si="187"/>
        <v/>
      </c>
      <c r="GZ792" s="1854" t="str">
        <f t="shared" si="188"/>
        <v/>
      </c>
      <c r="HA792" s="1854" t="str">
        <f t="shared" si="189"/>
        <v/>
      </c>
      <c r="HB792" s="1854" t="str">
        <f t="shared" si="190"/>
        <v/>
      </c>
      <c r="HC792" s="1854" t="str">
        <f t="shared" si="191"/>
        <v/>
      </c>
      <c r="HD792" s="1854" t="str">
        <f t="shared" si="192"/>
        <v/>
      </c>
      <c r="HE792" s="1854" t="str">
        <f t="shared" si="193"/>
        <v/>
      </c>
      <c r="HF792" s="1854" t="str">
        <f t="shared" si="194"/>
        <v/>
      </c>
      <c r="HG792" s="1854" t="str">
        <f t="shared" si="195"/>
        <v/>
      </c>
      <c r="HH792" s="1854" t="str">
        <f t="shared" si="196"/>
        <v/>
      </c>
      <c r="HI792" s="1854" t="str">
        <f t="shared" si="197"/>
        <v/>
      </c>
      <c r="HJ792" s="1854" t="str">
        <f t="shared" si="198"/>
        <v/>
      </c>
      <c r="HK792" s="1854" t="str">
        <f t="shared" si="199"/>
        <v/>
      </c>
      <c r="HL792" s="1854" t="str">
        <f t="shared" si="200"/>
        <v/>
      </c>
      <c r="HM792" s="1854" t="str">
        <f t="shared" si="201"/>
        <v/>
      </c>
      <c r="HN792" s="1854" t="str">
        <f t="shared" si="202"/>
        <v/>
      </c>
      <c r="HO792" s="1854" t="str">
        <f t="shared" si="203"/>
        <v/>
      </c>
      <c r="HP792" s="1854" t="str">
        <f t="shared" si="204"/>
        <v/>
      </c>
      <c r="HQ792" s="1854" t="str">
        <f t="shared" si="205"/>
        <v/>
      </c>
      <c r="HR792" s="1854" t="str">
        <f t="shared" si="206"/>
        <v/>
      </c>
      <c r="HS792" s="1854" t="str">
        <f t="shared" si="207"/>
        <v/>
      </c>
      <c r="HT792" s="1854" t="str">
        <f t="shared" si="208"/>
        <v/>
      </c>
      <c r="HU792" s="1854" t="str">
        <f t="shared" si="209"/>
        <v/>
      </c>
      <c r="HV792" s="1854" t="str">
        <f t="shared" si="210"/>
        <v/>
      </c>
      <c r="HW792" s="1854" t="str">
        <f t="shared" si="211"/>
        <v/>
      </c>
      <c r="HX792" s="1854" t="str">
        <f t="shared" si="212"/>
        <v/>
      </c>
      <c r="HY792" s="1854" t="str">
        <f t="shared" si="213"/>
        <v/>
      </c>
      <c r="HZ792" s="1854" t="str">
        <f t="shared" si="214"/>
        <v/>
      </c>
      <c r="IA792" s="1854" t="str">
        <f t="shared" si="215"/>
        <v/>
      </c>
      <c r="IB792" s="1854" t="str">
        <f t="shared" si="216"/>
        <v/>
      </c>
      <c r="IC792" s="1854" t="str">
        <f t="shared" si="217"/>
        <v/>
      </c>
      <c r="ID792" s="1826" t="str">
        <f t="shared" si="218"/>
        <v/>
      </c>
      <c r="IE792" s="1826" t="str">
        <f t="shared" si="219"/>
        <v/>
      </c>
      <c r="IF792" s="1826" t="str">
        <f t="shared" si="220"/>
        <v/>
      </c>
      <c r="IG792" s="1826" t="str">
        <f t="shared" si="221"/>
        <v/>
      </c>
      <c r="IH792" s="1826"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1824">
        <f t="shared" si="243"/>
        <v>0</v>
      </c>
      <c r="JD792" s="1824">
        <f t="shared" si="244"/>
        <v>0</v>
      </c>
      <c r="JE792" s="1824">
        <f t="shared" si="245"/>
        <v>0</v>
      </c>
      <c r="JF792" s="1824">
        <f t="shared" si="246"/>
        <v>0</v>
      </c>
      <c r="JG792" s="1824">
        <f t="shared" si="247"/>
        <v>0</v>
      </c>
      <c r="JH792" s="1824">
        <f t="shared" si="248"/>
        <v>0</v>
      </c>
      <c r="JI792" s="1824">
        <f t="shared" si="249"/>
        <v>0</v>
      </c>
      <c r="JJ792" s="1824">
        <f t="shared" si="250"/>
        <v>0</v>
      </c>
      <c r="JK792" s="1824">
        <f t="shared" si="251"/>
        <v>0</v>
      </c>
      <c r="JL792" s="1824">
        <f t="shared" si="252"/>
        <v>0</v>
      </c>
      <c r="JM792" s="1824">
        <f t="shared" si="253"/>
        <v>0</v>
      </c>
      <c r="JN792" s="1824">
        <f t="shared" si="254"/>
        <v>0</v>
      </c>
      <c r="JO792" s="1824">
        <f t="shared" si="255"/>
        <v>0</v>
      </c>
      <c r="JP792" s="1824">
        <f t="shared" si="256"/>
        <v>0</v>
      </c>
      <c r="JQ792" s="1824">
        <f t="shared" si="257"/>
        <v>0</v>
      </c>
    </row>
    <row r="793" spans="1:277" ht="12" customHeight="1">
      <c r="A793" s="1837" t="str">
        <f t="shared" si="0"/>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1"/>
        <v>0</v>
      </c>
      <c r="L793" s="1851">
        <f t="shared" si="2"/>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1854" t="str">
        <f t="shared" si="133"/>
        <v/>
      </c>
      <c r="EX793" s="1854" t="str">
        <f t="shared" si="134"/>
        <v/>
      </c>
      <c r="EY793" s="1854" t="str">
        <f t="shared" si="135"/>
        <v/>
      </c>
      <c r="EZ793" s="1854" t="str">
        <f t="shared" si="136"/>
        <v/>
      </c>
      <c r="FA793" s="1854" t="str">
        <f t="shared" si="137"/>
        <v/>
      </c>
      <c r="FB793" s="1854" t="str">
        <f t="shared" si="138"/>
        <v/>
      </c>
      <c r="FC793" s="1854" t="str">
        <f t="shared" si="139"/>
        <v/>
      </c>
      <c r="FD793" s="1854" t="str">
        <f t="shared" si="140"/>
        <v/>
      </c>
      <c r="FE793" s="1854" t="str">
        <f t="shared" si="141"/>
        <v/>
      </c>
      <c r="FF793" s="1854" t="str">
        <f t="shared" si="142"/>
        <v/>
      </c>
      <c r="FG793" s="1854" t="str">
        <f t="shared" si="143"/>
        <v/>
      </c>
      <c r="FH793" s="1854" t="str">
        <f t="shared" si="144"/>
        <v/>
      </c>
      <c r="FI793" s="1854" t="str">
        <f t="shared" si="145"/>
        <v/>
      </c>
      <c r="FJ793" s="1854" t="str">
        <f t="shared" si="146"/>
        <v/>
      </c>
      <c r="FK793" s="1854" t="str">
        <f t="shared" si="147"/>
        <v/>
      </c>
      <c r="FL793" s="1854" t="str">
        <f t="shared" si="148"/>
        <v/>
      </c>
      <c r="FM793" s="1854" t="str">
        <f t="shared" si="149"/>
        <v/>
      </c>
      <c r="FN793" s="1854" t="str">
        <f t="shared" si="150"/>
        <v/>
      </c>
      <c r="FO793" s="1854" t="str">
        <f t="shared" si="151"/>
        <v/>
      </c>
      <c r="FP793" s="1854" t="str">
        <f t="shared" si="152"/>
        <v/>
      </c>
      <c r="FQ793" s="1854" t="str">
        <f t="shared" si="153"/>
        <v/>
      </c>
      <c r="FR793" s="1854" t="str">
        <f t="shared" si="154"/>
        <v/>
      </c>
      <c r="FS793" s="1854" t="str">
        <f t="shared" si="155"/>
        <v/>
      </c>
      <c r="FT793" s="1854" t="str">
        <f t="shared" si="156"/>
        <v/>
      </c>
      <c r="FU793" s="1854" t="str">
        <f t="shared" si="157"/>
        <v/>
      </c>
      <c r="FV793" s="1854" t="str">
        <f t="shared" si="158"/>
        <v/>
      </c>
      <c r="FW793" s="1854" t="str">
        <f t="shared" si="159"/>
        <v/>
      </c>
      <c r="FX793" s="1854" t="str">
        <f t="shared" si="160"/>
        <v/>
      </c>
      <c r="FY793" s="1854" t="str">
        <f t="shared" si="161"/>
        <v/>
      </c>
      <c r="FZ793" s="1854" t="str">
        <f t="shared" si="162"/>
        <v/>
      </c>
      <c r="GA793" s="1854" t="str">
        <f t="shared" si="163"/>
        <v/>
      </c>
      <c r="GB793" s="1854" t="str">
        <f t="shared" si="164"/>
        <v/>
      </c>
      <c r="GC793" s="1854" t="str">
        <f t="shared" si="165"/>
        <v/>
      </c>
      <c r="GD793" s="1854" t="str">
        <f t="shared" si="166"/>
        <v/>
      </c>
      <c r="GE793" s="1854" t="str">
        <f t="shared" si="167"/>
        <v/>
      </c>
      <c r="GF793" s="1854" t="str">
        <f t="shared" si="168"/>
        <v/>
      </c>
      <c r="GG793" s="1854" t="str">
        <f t="shared" si="169"/>
        <v/>
      </c>
      <c r="GH793" s="1854" t="str">
        <f t="shared" si="170"/>
        <v/>
      </c>
      <c r="GI793" s="1854" t="str">
        <f t="shared" si="171"/>
        <v/>
      </c>
      <c r="GJ793" s="1854" t="str">
        <f t="shared" si="172"/>
        <v/>
      </c>
      <c r="GK793" s="1854" t="str">
        <f t="shared" si="173"/>
        <v/>
      </c>
      <c r="GL793" s="1854" t="str">
        <f t="shared" si="174"/>
        <v/>
      </c>
      <c r="GM793" s="1854" t="str">
        <f t="shared" si="175"/>
        <v/>
      </c>
      <c r="GN793" s="1854" t="str">
        <f t="shared" si="176"/>
        <v/>
      </c>
      <c r="GO793" s="1854" t="str">
        <f t="shared" si="177"/>
        <v/>
      </c>
      <c r="GP793" s="1854" t="str">
        <f t="shared" si="178"/>
        <v/>
      </c>
      <c r="GQ793" s="1854" t="str">
        <f t="shared" si="179"/>
        <v/>
      </c>
      <c r="GR793" s="1854" t="str">
        <f t="shared" si="180"/>
        <v/>
      </c>
      <c r="GS793" s="1854" t="str">
        <f t="shared" si="181"/>
        <v/>
      </c>
      <c r="GT793" s="1854" t="str">
        <f t="shared" si="182"/>
        <v/>
      </c>
      <c r="GU793" s="1854" t="str">
        <f t="shared" si="183"/>
        <v/>
      </c>
      <c r="GV793" s="1854" t="str">
        <f t="shared" si="184"/>
        <v/>
      </c>
      <c r="GW793" s="1854" t="str">
        <f t="shared" si="185"/>
        <v/>
      </c>
      <c r="GX793" s="1854" t="str">
        <f t="shared" si="186"/>
        <v/>
      </c>
      <c r="GY793" s="1854" t="str">
        <f t="shared" si="187"/>
        <v/>
      </c>
      <c r="GZ793" s="1854" t="str">
        <f t="shared" si="188"/>
        <v/>
      </c>
      <c r="HA793" s="1854" t="str">
        <f t="shared" si="189"/>
        <v/>
      </c>
      <c r="HB793" s="1854" t="str">
        <f t="shared" si="190"/>
        <v/>
      </c>
      <c r="HC793" s="1854" t="str">
        <f t="shared" si="191"/>
        <v/>
      </c>
      <c r="HD793" s="1854" t="str">
        <f t="shared" si="192"/>
        <v/>
      </c>
      <c r="HE793" s="1854" t="str">
        <f t="shared" si="193"/>
        <v/>
      </c>
      <c r="HF793" s="1854" t="str">
        <f t="shared" si="194"/>
        <v/>
      </c>
      <c r="HG793" s="1854" t="str">
        <f t="shared" si="195"/>
        <v/>
      </c>
      <c r="HH793" s="1854" t="str">
        <f t="shared" si="196"/>
        <v/>
      </c>
      <c r="HI793" s="1854" t="str">
        <f t="shared" si="197"/>
        <v/>
      </c>
      <c r="HJ793" s="1854" t="str">
        <f t="shared" si="198"/>
        <v/>
      </c>
      <c r="HK793" s="1854" t="str">
        <f t="shared" si="199"/>
        <v/>
      </c>
      <c r="HL793" s="1854" t="str">
        <f t="shared" si="200"/>
        <v/>
      </c>
      <c r="HM793" s="1854" t="str">
        <f t="shared" si="201"/>
        <v/>
      </c>
      <c r="HN793" s="1854" t="str">
        <f t="shared" si="202"/>
        <v/>
      </c>
      <c r="HO793" s="1854" t="str">
        <f t="shared" si="203"/>
        <v/>
      </c>
      <c r="HP793" s="1854" t="str">
        <f t="shared" si="204"/>
        <v/>
      </c>
      <c r="HQ793" s="1854" t="str">
        <f t="shared" si="205"/>
        <v/>
      </c>
      <c r="HR793" s="1854" t="str">
        <f t="shared" si="206"/>
        <v/>
      </c>
      <c r="HS793" s="1854" t="str">
        <f t="shared" si="207"/>
        <v/>
      </c>
      <c r="HT793" s="1854" t="str">
        <f t="shared" si="208"/>
        <v/>
      </c>
      <c r="HU793" s="1854" t="str">
        <f t="shared" si="209"/>
        <v/>
      </c>
      <c r="HV793" s="1854" t="str">
        <f t="shared" si="210"/>
        <v/>
      </c>
      <c r="HW793" s="1854" t="str">
        <f t="shared" si="211"/>
        <v/>
      </c>
      <c r="HX793" s="1854" t="str">
        <f t="shared" si="212"/>
        <v/>
      </c>
      <c r="HY793" s="1854" t="str">
        <f t="shared" si="213"/>
        <v/>
      </c>
      <c r="HZ793" s="1854" t="str">
        <f t="shared" si="214"/>
        <v/>
      </c>
      <c r="IA793" s="1854" t="str">
        <f t="shared" si="215"/>
        <v/>
      </c>
      <c r="IB793" s="1854" t="str">
        <f t="shared" si="216"/>
        <v/>
      </c>
      <c r="IC793" s="1854" t="str">
        <f t="shared" si="217"/>
        <v/>
      </c>
      <c r="ID793" s="1826" t="str">
        <f t="shared" si="218"/>
        <v/>
      </c>
      <c r="IE793" s="1826" t="str">
        <f t="shared" si="219"/>
        <v/>
      </c>
      <c r="IF793" s="1826" t="str">
        <f t="shared" si="220"/>
        <v/>
      </c>
      <c r="IG793" s="1826" t="str">
        <f t="shared" si="221"/>
        <v/>
      </c>
      <c r="IH793" s="1826"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1824">
        <f t="shared" si="243"/>
        <v>0</v>
      </c>
      <c r="JD793" s="1824">
        <f t="shared" si="244"/>
        <v>0</v>
      </c>
      <c r="JE793" s="1824">
        <f t="shared" si="245"/>
        <v>0</v>
      </c>
      <c r="JF793" s="1824">
        <f t="shared" si="246"/>
        <v>0</v>
      </c>
      <c r="JG793" s="1824">
        <f t="shared" si="247"/>
        <v>0</v>
      </c>
      <c r="JH793" s="1824">
        <f t="shared" si="248"/>
        <v>0</v>
      </c>
      <c r="JI793" s="1824">
        <f t="shared" si="249"/>
        <v>0</v>
      </c>
      <c r="JJ793" s="1824">
        <f t="shared" si="250"/>
        <v>0</v>
      </c>
      <c r="JK793" s="1824">
        <f t="shared" si="251"/>
        <v>0</v>
      </c>
      <c r="JL793" s="1824">
        <f t="shared" si="252"/>
        <v>0</v>
      </c>
      <c r="JM793" s="1824">
        <f t="shared" si="253"/>
        <v>0</v>
      </c>
      <c r="JN793" s="1824">
        <f t="shared" si="254"/>
        <v>0</v>
      </c>
      <c r="JO793" s="1824">
        <f t="shared" si="255"/>
        <v>0</v>
      </c>
      <c r="JP793" s="1824">
        <f t="shared" si="256"/>
        <v>0</v>
      </c>
      <c r="JQ793" s="1824">
        <f t="shared" si="257"/>
        <v>0</v>
      </c>
    </row>
    <row r="794" spans="1:277" ht="12" customHeight="1">
      <c r="A794" s="1837" t="str">
        <f t="shared" si="0"/>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1"/>
        <v>0</v>
      </c>
      <c r="L794" s="1851">
        <f t="shared" si="2"/>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1854" t="str">
        <f t="shared" si="133"/>
        <v/>
      </c>
      <c r="EX794" s="1854" t="str">
        <f t="shared" si="134"/>
        <v/>
      </c>
      <c r="EY794" s="1854" t="str">
        <f t="shared" si="135"/>
        <v/>
      </c>
      <c r="EZ794" s="1854" t="str">
        <f t="shared" si="136"/>
        <v/>
      </c>
      <c r="FA794" s="1854" t="str">
        <f t="shared" si="137"/>
        <v/>
      </c>
      <c r="FB794" s="1854" t="str">
        <f t="shared" si="138"/>
        <v/>
      </c>
      <c r="FC794" s="1854" t="str">
        <f t="shared" si="139"/>
        <v/>
      </c>
      <c r="FD794" s="1854" t="str">
        <f t="shared" si="140"/>
        <v/>
      </c>
      <c r="FE794" s="1854" t="str">
        <f t="shared" si="141"/>
        <v/>
      </c>
      <c r="FF794" s="1854" t="str">
        <f t="shared" si="142"/>
        <v/>
      </c>
      <c r="FG794" s="1854" t="str">
        <f t="shared" si="143"/>
        <v/>
      </c>
      <c r="FH794" s="1854" t="str">
        <f t="shared" si="144"/>
        <v/>
      </c>
      <c r="FI794" s="1854" t="str">
        <f t="shared" si="145"/>
        <v/>
      </c>
      <c r="FJ794" s="1854" t="str">
        <f t="shared" si="146"/>
        <v/>
      </c>
      <c r="FK794" s="1854" t="str">
        <f t="shared" si="147"/>
        <v/>
      </c>
      <c r="FL794" s="1854" t="str">
        <f t="shared" si="148"/>
        <v/>
      </c>
      <c r="FM794" s="1854" t="str">
        <f t="shared" si="149"/>
        <v/>
      </c>
      <c r="FN794" s="1854" t="str">
        <f t="shared" si="150"/>
        <v/>
      </c>
      <c r="FO794" s="1854" t="str">
        <f t="shared" si="151"/>
        <v/>
      </c>
      <c r="FP794" s="1854" t="str">
        <f t="shared" si="152"/>
        <v/>
      </c>
      <c r="FQ794" s="1854" t="str">
        <f t="shared" si="153"/>
        <v/>
      </c>
      <c r="FR794" s="1854" t="str">
        <f t="shared" si="154"/>
        <v/>
      </c>
      <c r="FS794" s="1854" t="str">
        <f t="shared" si="155"/>
        <v/>
      </c>
      <c r="FT794" s="1854" t="str">
        <f t="shared" si="156"/>
        <v/>
      </c>
      <c r="FU794" s="1854" t="str">
        <f t="shared" si="157"/>
        <v/>
      </c>
      <c r="FV794" s="1854" t="str">
        <f t="shared" si="158"/>
        <v/>
      </c>
      <c r="FW794" s="1854" t="str">
        <f t="shared" si="159"/>
        <v/>
      </c>
      <c r="FX794" s="1854" t="str">
        <f t="shared" si="160"/>
        <v/>
      </c>
      <c r="FY794" s="1854" t="str">
        <f t="shared" si="161"/>
        <v/>
      </c>
      <c r="FZ794" s="1854" t="str">
        <f t="shared" si="162"/>
        <v/>
      </c>
      <c r="GA794" s="1854" t="str">
        <f t="shared" si="163"/>
        <v/>
      </c>
      <c r="GB794" s="1854" t="str">
        <f t="shared" si="164"/>
        <v/>
      </c>
      <c r="GC794" s="1854" t="str">
        <f t="shared" si="165"/>
        <v/>
      </c>
      <c r="GD794" s="1854" t="str">
        <f t="shared" si="166"/>
        <v/>
      </c>
      <c r="GE794" s="1854" t="str">
        <f t="shared" si="167"/>
        <v/>
      </c>
      <c r="GF794" s="1854" t="str">
        <f t="shared" si="168"/>
        <v/>
      </c>
      <c r="GG794" s="1854" t="str">
        <f t="shared" si="169"/>
        <v/>
      </c>
      <c r="GH794" s="1854" t="str">
        <f t="shared" si="170"/>
        <v/>
      </c>
      <c r="GI794" s="1854" t="str">
        <f t="shared" si="171"/>
        <v/>
      </c>
      <c r="GJ794" s="1854" t="str">
        <f t="shared" si="172"/>
        <v/>
      </c>
      <c r="GK794" s="1854" t="str">
        <f t="shared" si="173"/>
        <v/>
      </c>
      <c r="GL794" s="1854" t="str">
        <f t="shared" si="174"/>
        <v/>
      </c>
      <c r="GM794" s="1854" t="str">
        <f t="shared" si="175"/>
        <v/>
      </c>
      <c r="GN794" s="1854" t="str">
        <f t="shared" si="176"/>
        <v/>
      </c>
      <c r="GO794" s="1854" t="str">
        <f t="shared" si="177"/>
        <v/>
      </c>
      <c r="GP794" s="1854" t="str">
        <f t="shared" si="178"/>
        <v/>
      </c>
      <c r="GQ794" s="1854" t="str">
        <f t="shared" si="179"/>
        <v/>
      </c>
      <c r="GR794" s="1854" t="str">
        <f t="shared" si="180"/>
        <v/>
      </c>
      <c r="GS794" s="1854" t="str">
        <f t="shared" si="181"/>
        <v/>
      </c>
      <c r="GT794" s="1854" t="str">
        <f t="shared" si="182"/>
        <v/>
      </c>
      <c r="GU794" s="1854" t="str">
        <f t="shared" si="183"/>
        <v/>
      </c>
      <c r="GV794" s="1854" t="str">
        <f t="shared" si="184"/>
        <v/>
      </c>
      <c r="GW794" s="1854" t="str">
        <f t="shared" si="185"/>
        <v/>
      </c>
      <c r="GX794" s="1854" t="str">
        <f t="shared" si="186"/>
        <v/>
      </c>
      <c r="GY794" s="1854" t="str">
        <f t="shared" si="187"/>
        <v/>
      </c>
      <c r="GZ794" s="1854" t="str">
        <f t="shared" si="188"/>
        <v/>
      </c>
      <c r="HA794" s="1854" t="str">
        <f t="shared" si="189"/>
        <v/>
      </c>
      <c r="HB794" s="1854" t="str">
        <f t="shared" si="190"/>
        <v/>
      </c>
      <c r="HC794" s="1854" t="str">
        <f t="shared" si="191"/>
        <v/>
      </c>
      <c r="HD794" s="1854" t="str">
        <f t="shared" si="192"/>
        <v/>
      </c>
      <c r="HE794" s="1854" t="str">
        <f t="shared" si="193"/>
        <v/>
      </c>
      <c r="HF794" s="1854" t="str">
        <f t="shared" si="194"/>
        <v/>
      </c>
      <c r="HG794" s="1854" t="str">
        <f t="shared" si="195"/>
        <v/>
      </c>
      <c r="HH794" s="1854" t="str">
        <f t="shared" si="196"/>
        <v/>
      </c>
      <c r="HI794" s="1854" t="str">
        <f t="shared" si="197"/>
        <v/>
      </c>
      <c r="HJ794" s="1854" t="str">
        <f t="shared" si="198"/>
        <v/>
      </c>
      <c r="HK794" s="1854" t="str">
        <f t="shared" si="199"/>
        <v/>
      </c>
      <c r="HL794" s="1854" t="str">
        <f t="shared" si="200"/>
        <v/>
      </c>
      <c r="HM794" s="1854" t="str">
        <f t="shared" si="201"/>
        <v/>
      </c>
      <c r="HN794" s="1854" t="str">
        <f t="shared" si="202"/>
        <v/>
      </c>
      <c r="HO794" s="1854" t="str">
        <f t="shared" si="203"/>
        <v/>
      </c>
      <c r="HP794" s="1854" t="str">
        <f t="shared" si="204"/>
        <v/>
      </c>
      <c r="HQ794" s="1854" t="str">
        <f t="shared" si="205"/>
        <v/>
      </c>
      <c r="HR794" s="1854" t="str">
        <f t="shared" si="206"/>
        <v/>
      </c>
      <c r="HS794" s="1854" t="str">
        <f t="shared" si="207"/>
        <v/>
      </c>
      <c r="HT794" s="1854" t="str">
        <f t="shared" si="208"/>
        <v/>
      </c>
      <c r="HU794" s="1854" t="str">
        <f t="shared" si="209"/>
        <v/>
      </c>
      <c r="HV794" s="1854" t="str">
        <f t="shared" si="210"/>
        <v/>
      </c>
      <c r="HW794" s="1854" t="str">
        <f t="shared" si="211"/>
        <v/>
      </c>
      <c r="HX794" s="1854" t="str">
        <f t="shared" si="212"/>
        <v/>
      </c>
      <c r="HY794" s="1854" t="str">
        <f t="shared" si="213"/>
        <v/>
      </c>
      <c r="HZ794" s="1854" t="str">
        <f t="shared" si="214"/>
        <v/>
      </c>
      <c r="IA794" s="1854" t="str">
        <f t="shared" si="215"/>
        <v/>
      </c>
      <c r="IB794" s="1854" t="str">
        <f t="shared" si="216"/>
        <v/>
      </c>
      <c r="IC794" s="1854" t="str">
        <f t="shared" si="217"/>
        <v/>
      </c>
      <c r="ID794" s="1826" t="str">
        <f t="shared" si="218"/>
        <v/>
      </c>
      <c r="IE794" s="1826" t="str">
        <f t="shared" si="219"/>
        <v/>
      </c>
      <c r="IF794" s="1826" t="str">
        <f t="shared" si="220"/>
        <v/>
      </c>
      <c r="IG794" s="1826" t="str">
        <f t="shared" si="221"/>
        <v/>
      </c>
      <c r="IH794" s="1826"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1824">
        <f t="shared" si="243"/>
        <v>0</v>
      </c>
      <c r="JD794" s="1824">
        <f t="shared" si="244"/>
        <v>0</v>
      </c>
      <c r="JE794" s="1824">
        <f t="shared" si="245"/>
        <v>0</v>
      </c>
      <c r="JF794" s="1824">
        <f t="shared" si="246"/>
        <v>0</v>
      </c>
      <c r="JG794" s="1824">
        <f t="shared" si="247"/>
        <v>0</v>
      </c>
      <c r="JH794" s="1824">
        <f t="shared" si="248"/>
        <v>0</v>
      </c>
      <c r="JI794" s="1824">
        <f t="shared" si="249"/>
        <v>0</v>
      </c>
      <c r="JJ794" s="1824">
        <f t="shared" si="250"/>
        <v>0</v>
      </c>
      <c r="JK794" s="1824">
        <f t="shared" si="251"/>
        <v>0</v>
      </c>
      <c r="JL794" s="1824">
        <f t="shared" si="252"/>
        <v>0</v>
      </c>
      <c r="JM794" s="1824">
        <f t="shared" si="253"/>
        <v>0</v>
      </c>
      <c r="JN794" s="1824">
        <f t="shared" si="254"/>
        <v>0</v>
      </c>
      <c r="JO794" s="1824">
        <f t="shared" si="255"/>
        <v>0</v>
      </c>
      <c r="JP794" s="1824">
        <f t="shared" si="256"/>
        <v>0</v>
      </c>
      <c r="JQ794" s="1824">
        <f t="shared" si="257"/>
        <v>0</v>
      </c>
    </row>
    <row r="795" spans="1:277" ht="12" customHeight="1">
      <c r="A795" s="1837" t="str">
        <f t="shared" si="0"/>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1"/>
        <v>0</v>
      </c>
      <c r="L795" s="1851">
        <f t="shared" si="2"/>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1854" t="str">
        <f t="shared" si="133"/>
        <v/>
      </c>
      <c r="EX795" s="1854" t="str">
        <f t="shared" si="134"/>
        <v/>
      </c>
      <c r="EY795" s="1854" t="str">
        <f t="shared" si="135"/>
        <v/>
      </c>
      <c r="EZ795" s="1854" t="str">
        <f t="shared" si="136"/>
        <v/>
      </c>
      <c r="FA795" s="1854" t="str">
        <f t="shared" si="137"/>
        <v/>
      </c>
      <c r="FB795" s="1854" t="str">
        <f t="shared" si="138"/>
        <v/>
      </c>
      <c r="FC795" s="1854" t="str">
        <f t="shared" si="139"/>
        <v/>
      </c>
      <c r="FD795" s="1854" t="str">
        <f t="shared" si="140"/>
        <v/>
      </c>
      <c r="FE795" s="1854" t="str">
        <f t="shared" si="141"/>
        <v/>
      </c>
      <c r="FF795" s="1854" t="str">
        <f t="shared" si="142"/>
        <v/>
      </c>
      <c r="FG795" s="1854" t="str">
        <f t="shared" si="143"/>
        <v/>
      </c>
      <c r="FH795" s="1854" t="str">
        <f t="shared" si="144"/>
        <v/>
      </c>
      <c r="FI795" s="1854" t="str">
        <f t="shared" si="145"/>
        <v/>
      </c>
      <c r="FJ795" s="1854" t="str">
        <f t="shared" si="146"/>
        <v/>
      </c>
      <c r="FK795" s="1854" t="str">
        <f t="shared" si="147"/>
        <v/>
      </c>
      <c r="FL795" s="1854" t="str">
        <f t="shared" si="148"/>
        <v/>
      </c>
      <c r="FM795" s="1854" t="str">
        <f t="shared" si="149"/>
        <v/>
      </c>
      <c r="FN795" s="1854" t="str">
        <f t="shared" si="150"/>
        <v/>
      </c>
      <c r="FO795" s="1854" t="str">
        <f t="shared" si="151"/>
        <v/>
      </c>
      <c r="FP795" s="1854" t="str">
        <f t="shared" si="152"/>
        <v/>
      </c>
      <c r="FQ795" s="1854" t="str">
        <f t="shared" si="153"/>
        <v/>
      </c>
      <c r="FR795" s="1854" t="str">
        <f t="shared" si="154"/>
        <v/>
      </c>
      <c r="FS795" s="1854" t="str">
        <f t="shared" si="155"/>
        <v/>
      </c>
      <c r="FT795" s="1854" t="str">
        <f t="shared" si="156"/>
        <v/>
      </c>
      <c r="FU795" s="1854" t="str">
        <f t="shared" si="157"/>
        <v/>
      </c>
      <c r="FV795" s="1854" t="str">
        <f t="shared" si="158"/>
        <v/>
      </c>
      <c r="FW795" s="1854" t="str">
        <f t="shared" si="159"/>
        <v/>
      </c>
      <c r="FX795" s="1854" t="str">
        <f t="shared" si="160"/>
        <v/>
      </c>
      <c r="FY795" s="1854" t="str">
        <f t="shared" si="161"/>
        <v/>
      </c>
      <c r="FZ795" s="1854" t="str">
        <f t="shared" si="162"/>
        <v/>
      </c>
      <c r="GA795" s="1854" t="str">
        <f t="shared" si="163"/>
        <v/>
      </c>
      <c r="GB795" s="1854" t="str">
        <f t="shared" si="164"/>
        <v/>
      </c>
      <c r="GC795" s="1854" t="str">
        <f t="shared" si="165"/>
        <v/>
      </c>
      <c r="GD795" s="1854" t="str">
        <f t="shared" si="166"/>
        <v/>
      </c>
      <c r="GE795" s="1854" t="str">
        <f t="shared" si="167"/>
        <v/>
      </c>
      <c r="GF795" s="1854" t="str">
        <f t="shared" si="168"/>
        <v/>
      </c>
      <c r="GG795" s="1854" t="str">
        <f t="shared" si="169"/>
        <v/>
      </c>
      <c r="GH795" s="1854" t="str">
        <f t="shared" si="170"/>
        <v/>
      </c>
      <c r="GI795" s="1854" t="str">
        <f t="shared" si="171"/>
        <v/>
      </c>
      <c r="GJ795" s="1854" t="str">
        <f t="shared" si="172"/>
        <v/>
      </c>
      <c r="GK795" s="1854" t="str">
        <f t="shared" si="173"/>
        <v/>
      </c>
      <c r="GL795" s="1854" t="str">
        <f t="shared" si="174"/>
        <v/>
      </c>
      <c r="GM795" s="1854" t="str">
        <f t="shared" si="175"/>
        <v/>
      </c>
      <c r="GN795" s="1854" t="str">
        <f t="shared" si="176"/>
        <v/>
      </c>
      <c r="GO795" s="1854" t="str">
        <f t="shared" si="177"/>
        <v/>
      </c>
      <c r="GP795" s="1854" t="str">
        <f t="shared" si="178"/>
        <v/>
      </c>
      <c r="GQ795" s="1854" t="str">
        <f t="shared" si="179"/>
        <v/>
      </c>
      <c r="GR795" s="1854" t="str">
        <f t="shared" si="180"/>
        <v/>
      </c>
      <c r="GS795" s="1854" t="str">
        <f t="shared" si="181"/>
        <v/>
      </c>
      <c r="GT795" s="1854" t="str">
        <f t="shared" si="182"/>
        <v/>
      </c>
      <c r="GU795" s="1854" t="str">
        <f t="shared" si="183"/>
        <v/>
      </c>
      <c r="GV795" s="1854" t="str">
        <f t="shared" si="184"/>
        <v/>
      </c>
      <c r="GW795" s="1854" t="str">
        <f t="shared" si="185"/>
        <v/>
      </c>
      <c r="GX795" s="1854" t="str">
        <f t="shared" si="186"/>
        <v/>
      </c>
      <c r="GY795" s="1854" t="str">
        <f t="shared" si="187"/>
        <v/>
      </c>
      <c r="GZ795" s="1854" t="str">
        <f t="shared" si="188"/>
        <v/>
      </c>
      <c r="HA795" s="1854" t="str">
        <f t="shared" si="189"/>
        <v/>
      </c>
      <c r="HB795" s="1854" t="str">
        <f t="shared" si="190"/>
        <v/>
      </c>
      <c r="HC795" s="1854" t="str">
        <f t="shared" si="191"/>
        <v/>
      </c>
      <c r="HD795" s="1854" t="str">
        <f t="shared" si="192"/>
        <v/>
      </c>
      <c r="HE795" s="1854" t="str">
        <f t="shared" si="193"/>
        <v/>
      </c>
      <c r="HF795" s="1854" t="str">
        <f t="shared" si="194"/>
        <v/>
      </c>
      <c r="HG795" s="1854" t="str">
        <f t="shared" si="195"/>
        <v/>
      </c>
      <c r="HH795" s="1854" t="str">
        <f t="shared" si="196"/>
        <v/>
      </c>
      <c r="HI795" s="1854" t="str">
        <f t="shared" si="197"/>
        <v/>
      </c>
      <c r="HJ795" s="1854" t="str">
        <f t="shared" si="198"/>
        <v/>
      </c>
      <c r="HK795" s="1854" t="str">
        <f t="shared" si="199"/>
        <v/>
      </c>
      <c r="HL795" s="1854" t="str">
        <f t="shared" si="200"/>
        <v/>
      </c>
      <c r="HM795" s="1854" t="str">
        <f t="shared" si="201"/>
        <v/>
      </c>
      <c r="HN795" s="1854" t="str">
        <f t="shared" si="202"/>
        <v/>
      </c>
      <c r="HO795" s="1854" t="str">
        <f t="shared" si="203"/>
        <v/>
      </c>
      <c r="HP795" s="1854" t="str">
        <f t="shared" si="204"/>
        <v/>
      </c>
      <c r="HQ795" s="1854" t="str">
        <f t="shared" si="205"/>
        <v/>
      </c>
      <c r="HR795" s="1854" t="str">
        <f t="shared" si="206"/>
        <v/>
      </c>
      <c r="HS795" s="1854" t="str">
        <f t="shared" si="207"/>
        <v/>
      </c>
      <c r="HT795" s="1854" t="str">
        <f t="shared" si="208"/>
        <v/>
      </c>
      <c r="HU795" s="1854" t="str">
        <f t="shared" si="209"/>
        <v/>
      </c>
      <c r="HV795" s="1854" t="str">
        <f t="shared" si="210"/>
        <v/>
      </c>
      <c r="HW795" s="1854" t="str">
        <f t="shared" si="211"/>
        <v/>
      </c>
      <c r="HX795" s="1854" t="str">
        <f t="shared" si="212"/>
        <v/>
      </c>
      <c r="HY795" s="1854" t="str">
        <f t="shared" si="213"/>
        <v/>
      </c>
      <c r="HZ795" s="1854" t="str">
        <f t="shared" si="214"/>
        <v/>
      </c>
      <c r="IA795" s="1854" t="str">
        <f t="shared" si="215"/>
        <v/>
      </c>
      <c r="IB795" s="1854" t="str">
        <f t="shared" si="216"/>
        <v/>
      </c>
      <c r="IC795" s="1854" t="str">
        <f t="shared" si="217"/>
        <v/>
      </c>
      <c r="ID795" s="1826" t="str">
        <f t="shared" si="218"/>
        <v/>
      </c>
      <c r="IE795" s="1826" t="str">
        <f t="shared" si="219"/>
        <v/>
      </c>
      <c r="IF795" s="1826" t="str">
        <f t="shared" si="220"/>
        <v/>
      </c>
      <c r="IG795" s="1826" t="str">
        <f t="shared" si="221"/>
        <v/>
      </c>
      <c r="IH795" s="1826"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1824">
        <f t="shared" si="243"/>
        <v>0</v>
      </c>
      <c r="JD795" s="1824">
        <f t="shared" si="244"/>
        <v>0</v>
      </c>
      <c r="JE795" s="1824">
        <f t="shared" si="245"/>
        <v>0</v>
      </c>
      <c r="JF795" s="1824">
        <f t="shared" si="246"/>
        <v>0</v>
      </c>
      <c r="JG795" s="1824">
        <f t="shared" si="247"/>
        <v>0</v>
      </c>
      <c r="JH795" s="1824">
        <f t="shared" si="248"/>
        <v>0</v>
      </c>
      <c r="JI795" s="1824">
        <f t="shared" si="249"/>
        <v>0</v>
      </c>
      <c r="JJ795" s="1824">
        <f t="shared" si="250"/>
        <v>0</v>
      </c>
      <c r="JK795" s="1824">
        <f t="shared" si="251"/>
        <v>0</v>
      </c>
      <c r="JL795" s="1824">
        <f t="shared" si="252"/>
        <v>0</v>
      </c>
      <c r="JM795" s="1824">
        <f t="shared" si="253"/>
        <v>0</v>
      </c>
      <c r="JN795" s="1824">
        <f t="shared" si="254"/>
        <v>0</v>
      </c>
      <c r="JO795" s="1824">
        <f t="shared" si="255"/>
        <v>0</v>
      </c>
      <c r="JP795" s="1824">
        <f t="shared" si="256"/>
        <v>0</v>
      </c>
      <c r="JQ795" s="1824">
        <f t="shared" si="257"/>
        <v>0</v>
      </c>
    </row>
    <row r="796" spans="1:277" ht="12" customHeight="1">
      <c r="A796" s="1837" t="str">
        <f t="shared" si="0"/>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1"/>
        <v>0</v>
      </c>
      <c r="L796" s="1851">
        <f t="shared" si="2"/>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1854" t="str">
        <f t="shared" si="133"/>
        <v/>
      </c>
      <c r="EX796" s="1854" t="str">
        <f t="shared" si="134"/>
        <v/>
      </c>
      <c r="EY796" s="1854" t="str">
        <f t="shared" si="135"/>
        <v/>
      </c>
      <c r="EZ796" s="1854" t="str">
        <f t="shared" si="136"/>
        <v/>
      </c>
      <c r="FA796" s="1854" t="str">
        <f t="shared" si="137"/>
        <v/>
      </c>
      <c r="FB796" s="1854" t="str">
        <f t="shared" si="138"/>
        <v/>
      </c>
      <c r="FC796" s="1854" t="str">
        <f t="shared" si="139"/>
        <v/>
      </c>
      <c r="FD796" s="1854" t="str">
        <f t="shared" si="140"/>
        <v/>
      </c>
      <c r="FE796" s="1854" t="str">
        <f t="shared" si="141"/>
        <v/>
      </c>
      <c r="FF796" s="1854" t="str">
        <f t="shared" si="142"/>
        <v/>
      </c>
      <c r="FG796" s="1854" t="str">
        <f t="shared" si="143"/>
        <v/>
      </c>
      <c r="FH796" s="1854" t="str">
        <f t="shared" si="144"/>
        <v/>
      </c>
      <c r="FI796" s="1854" t="str">
        <f t="shared" si="145"/>
        <v/>
      </c>
      <c r="FJ796" s="1854" t="str">
        <f t="shared" si="146"/>
        <v/>
      </c>
      <c r="FK796" s="1854" t="str">
        <f t="shared" si="147"/>
        <v/>
      </c>
      <c r="FL796" s="1854" t="str">
        <f t="shared" si="148"/>
        <v/>
      </c>
      <c r="FM796" s="1854" t="str">
        <f t="shared" si="149"/>
        <v/>
      </c>
      <c r="FN796" s="1854" t="str">
        <f t="shared" si="150"/>
        <v/>
      </c>
      <c r="FO796" s="1854" t="str">
        <f t="shared" si="151"/>
        <v/>
      </c>
      <c r="FP796" s="1854" t="str">
        <f t="shared" si="152"/>
        <v/>
      </c>
      <c r="FQ796" s="1854" t="str">
        <f t="shared" si="153"/>
        <v/>
      </c>
      <c r="FR796" s="1854" t="str">
        <f t="shared" si="154"/>
        <v/>
      </c>
      <c r="FS796" s="1854" t="str">
        <f t="shared" si="155"/>
        <v/>
      </c>
      <c r="FT796" s="1854" t="str">
        <f t="shared" si="156"/>
        <v/>
      </c>
      <c r="FU796" s="1854" t="str">
        <f t="shared" si="157"/>
        <v/>
      </c>
      <c r="FV796" s="1854" t="str">
        <f t="shared" si="158"/>
        <v/>
      </c>
      <c r="FW796" s="1854" t="str">
        <f t="shared" si="159"/>
        <v/>
      </c>
      <c r="FX796" s="1854" t="str">
        <f t="shared" si="160"/>
        <v/>
      </c>
      <c r="FY796" s="1854" t="str">
        <f t="shared" si="161"/>
        <v/>
      </c>
      <c r="FZ796" s="1854" t="str">
        <f t="shared" si="162"/>
        <v/>
      </c>
      <c r="GA796" s="1854" t="str">
        <f t="shared" si="163"/>
        <v/>
      </c>
      <c r="GB796" s="1854" t="str">
        <f t="shared" si="164"/>
        <v/>
      </c>
      <c r="GC796" s="1854" t="str">
        <f t="shared" si="165"/>
        <v/>
      </c>
      <c r="GD796" s="1854" t="str">
        <f t="shared" si="166"/>
        <v/>
      </c>
      <c r="GE796" s="1854" t="str">
        <f t="shared" si="167"/>
        <v/>
      </c>
      <c r="GF796" s="1854" t="str">
        <f t="shared" si="168"/>
        <v/>
      </c>
      <c r="GG796" s="1854" t="str">
        <f t="shared" si="169"/>
        <v/>
      </c>
      <c r="GH796" s="1854" t="str">
        <f t="shared" si="170"/>
        <v/>
      </c>
      <c r="GI796" s="1854" t="str">
        <f t="shared" si="171"/>
        <v/>
      </c>
      <c r="GJ796" s="1854" t="str">
        <f t="shared" si="172"/>
        <v/>
      </c>
      <c r="GK796" s="1854" t="str">
        <f t="shared" si="173"/>
        <v/>
      </c>
      <c r="GL796" s="1854" t="str">
        <f t="shared" si="174"/>
        <v/>
      </c>
      <c r="GM796" s="1854" t="str">
        <f t="shared" si="175"/>
        <v/>
      </c>
      <c r="GN796" s="1854" t="str">
        <f t="shared" si="176"/>
        <v/>
      </c>
      <c r="GO796" s="1854" t="str">
        <f t="shared" si="177"/>
        <v/>
      </c>
      <c r="GP796" s="1854" t="str">
        <f t="shared" si="178"/>
        <v/>
      </c>
      <c r="GQ796" s="1854" t="str">
        <f t="shared" si="179"/>
        <v/>
      </c>
      <c r="GR796" s="1854" t="str">
        <f t="shared" si="180"/>
        <v/>
      </c>
      <c r="GS796" s="1854" t="str">
        <f t="shared" si="181"/>
        <v/>
      </c>
      <c r="GT796" s="1854" t="str">
        <f t="shared" si="182"/>
        <v/>
      </c>
      <c r="GU796" s="1854" t="str">
        <f t="shared" si="183"/>
        <v/>
      </c>
      <c r="GV796" s="1854" t="str">
        <f t="shared" si="184"/>
        <v/>
      </c>
      <c r="GW796" s="1854" t="str">
        <f t="shared" si="185"/>
        <v/>
      </c>
      <c r="GX796" s="1854" t="str">
        <f t="shared" si="186"/>
        <v/>
      </c>
      <c r="GY796" s="1854" t="str">
        <f t="shared" si="187"/>
        <v/>
      </c>
      <c r="GZ796" s="1854" t="str">
        <f t="shared" si="188"/>
        <v/>
      </c>
      <c r="HA796" s="1854" t="str">
        <f t="shared" si="189"/>
        <v/>
      </c>
      <c r="HB796" s="1854" t="str">
        <f t="shared" si="190"/>
        <v/>
      </c>
      <c r="HC796" s="1854" t="str">
        <f t="shared" si="191"/>
        <v/>
      </c>
      <c r="HD796" s="1854" t="str">
        <f t="shared" si="192"/>
        <v/>
      </c>
      <c r="HE796" s="1854" t="str">
        <f t="shared" si="193"/>
        <v/>
      </c>
      <c r="HF796" s="1854" t="str">
        <f t="shared" si="194"/>
        <v/>
      </c>
      <c r="HG796" s="1854" t="str">
        <f t="shared" si="195"/>
        <v/>
      </c>
      <c r="HH796" s="1854" t="str">
        <f t="shared" si="196"/>
        <v/>
      </c>
      <c r="HI796" s="1854" t="str">
        <f t="shared" si="197"/>
        <v/>
      </c>
      <c r="HJ796" s="1854" t="str">
        <f t="shared" si="198"/>
        <v/>
      </c>
      <c r="HK796" s="1854" t="str">
        <f t="shared" si="199"/>
        <v/>
      </c>
      <c r="HL796" s="1854" t="str">
        <f t="shared" si="200"/>
        <v/>
      </c>
      <c r="HM796" s="1854" t="str">
        <f t="shared" si="201"/>
        <v/>
      </c>
      <c r="HN796" s="1854" t="str">
        <f t="shared" si="202"/>
        <v/>
      </c>
      <c r="HO796" s="1854" t="str">
        <f t="shared" si="203"/>
        <v/>
      </c>
      <c r="HP796" s="1854" t="str">
        <f t="shared" si="204"/>
        <v/>
      </c>
      <c r="HQ796" s="1854" t="str">
        <f t="shared" si="205"/>
        <v/>
      </c>
      <c r="HR796" s="1854" t="str">
        <f t="shared" si="206"/>
        <v/>
      </c>
      <c r="HS796" s="1854" t="str">
        <f t="shared" si="207"/>
        <v/>
      </c>
      <c r="HT796" s="1854" t="str">
        <f t="shared" si="208"/>
        <v/>
      </c>
      <c r="HU796" s="1854" t="str">
        <f t="shared" si="209"/>
        <v/>
      </c>
      <c r="HV796" s="1854" t="str">
        <f t="shared" si="210"/>
        <v/>
      </c>
      <c r="HW796" s="1854" t="str">
        <f t="shared" si="211"/>
        <v/>
      </c>
      <c r="HX796" s="1854" t="str">
        <f t="shared" si="212"/>
        <v/>
      </c>
      <c r="HY796" s="1854" t="str">
        <f t="shared" si="213"/>
        <v/>
      </c>
      <c r="HZ796" s="1854" t="str">
        <f t="shared" si="214"/>
        <v/>
      </c>
      <c r="IA796" s="1854" t="str">
        <f t="shared" si="215"/>
        <v/>
      </c>
      <c r="IB796" s="1854" t="str">
        <f t="shared" si="216"/>
        <v/>
      </c>
      <c r="IC796" s="1854" t="str">
        <f t="shared" si="217"/>
        <v/>
      </c>
      <c r="ID796" s="1826" t="str">
        <f t="shared" si="218"/>
        <v/>
      </c>
      <c r="IE796" s="1826" t="str">
        <f t="shared" si="219"/>
        <v/>
      </c>
      <c r="IF796" s="1826" t="str">
        <f t="shared" si="220"/>
        <v/>
      </c>
      <c r="IG796" s="1826" t="str">
        <f t="shared" si="221"/>
        <v/>
      </c>
      <c r="IH796" s="1826"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1824">
        <f t="shared" si="243"/>
        <v>0</v>
      </c>
      <c r="JD796" s="1824">
        <f t="shared" si="244"/>
        <v>0</v>
      </c>
      <c r="JE796" s="1824">
        <f t="shared" si="245"/>
        <v>0</v>
      </c>
      <c r="JF796" s="1824">
        <f t="shared" si="246"/>
        <v>0</v>
      </c>
      <c r="JG796" s="1824">
        <f t="shared" si="247"/>
        <v>0</v>
      </c>
      <c r="JH796" s="1824">
        <f t="shared" si="248"/>
        <v>0</v>
      </c>
      <c r="JI796" s="1824">
        <f t="shared" si="249"/>
        <v>0</v>
      </c>
      <c r="JJ796" s="1824">
        <f t="shared" si="250"/>
        <v>0</v>
      </c>
      <c r="JK796" s="1824">
        <f t="shared" si="251"/>
        <v>0</v>
      </c>
      <c r="JL796" s="1824">
        <f t="shared" si="252"/>
        <v>0</v>
      </c>
      <c r="JM796" s="1824">
        <f t="shared" si="253"/>
        <v>0</v>
      </c>
      <c r="JN796" s="1824">
        <f t="shared" si="254"/>
        <v>0</v>
      </c>
      <c r="JO796" s="1824">
        <f t="shared" si="255"/>
        <v>0</v>
      </c>
      <c r="JP796" s="1824">
        <f t="shared" si="256"/>
        <v>0</v>
      </c>
      <c r="JQ796" s="1824">
        <f t="shared" si="257"/>
        <v>0</v>
      </c>
    </row>
    <row r="797" spans="1:277" ht="12" customHeight="1">
      <c r="A797" s="1837" t="str">
        <f t="shared" si="0"/>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1"/>
        <v>0</v>
      </c>
      <c r="L797" s="1851">
        <f t="shared" si="2"/>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1854" t="str">
        <f t="shared" si="133"/>
        <v/>
      </c>
      <c r="EX797" s="1854" t="str">
        <f t="shared" si="134"/>
        <v/>
      </c>
      <c r="EY797" s="1854" t="str">
        <f t="shared" si="135"/>
        <v/>
      </c>
      <c r="EZ797" s="1854" t="str">
        <f t="shared" si="136"/>
        <v/>
      </c>
      <c r="FA797" s="1854" t="str">
        <f t="shared" si="137"/>
        <v/>
      </c>
      <c r="FB797" s="1854" t="str">
        <f t="shared" si="138"/>
        <v/>
      </c>
      <c r="FC797" s="1854" t="str">
        <f t="shared" si="139"/>
        <v/>
      </c>
      <c r="FD797" s="1854" t="str">
        <f t="shared" si="140"/>
        <v/>
      </c>
      <c r="FE797" s="1854" t="str">
        <f t="shared" si="141"/>
        <v/>
      </c>
      <c r="FF797" s="1854" t="str">
        <f t="shared" si="142"/>
        <v/>
      </c>
      <c r="FG797" s="1854" t="str">
        <f t="shared" si="143"/>
        <v/>
      </c>
      <c r="FH797" s="1854" t="str">
        <f t="shared" si="144"/>
        <v/>
      </c>
      <c r="FI797" s="1854" t="str">
        <f t="shared" si="145"/>
        <v/>
      </c>
      <c r="FJ797" s="1854" t="str">
        <f t="shared" si="146"/>
        <v/>
      </c>
      <c r="FK797" s="1854" t="str">
        <f t="shared" si="147"/>
        <v/>
      </c>
      <c r="FL797" s="1854" t="str">
        <f t="shared" si="148"/>
        <v/>
      </c>
      <c r="FM797" s="1854" t="str">
        <f t="shared" si="149"/>
        <v/>
      </c>
      <c r="FN797" s="1854" t="str">
        <f t="shared" si="150"/>
        <v/>
      </c>
      <c r="FO797" s="1854" t="str">
        <f t="shared" si="151"/>
        <v/>
      </c>
      <c r="FP797" s="1854" t="str">
        <f t="shared" si="152"/>
        <v/>
      </c>
      <c r="FQ797" s="1854" t="str">
        <f t="shared" si="153"/>
        <v/>
      </c>
      <c r="FR797" s="1854" t="str">
        <f t="shared" si="154"/>
        <v/>
      </c>
      <c r="FS797" s="1854" t="str">
        <f t="shared" si="155"/>
        <v/>
      </c>
      <c r="FT797" s="1854" t="str">
        <f t="shared" si="156"/>
        <v/>
      </c>
      <c r="FU797" s="1854" t="str">
        <f t="shared" si="157"/>
        <v/>
      </c>
      <c r="FV797" s="1854" t="str">
        <f t="shared" si="158"/>
        <v/>
      </c>
      <c r="FW797" s="1854" t="str">
        <f t="shared" si="159"/>
        <v/>
      </c>
      <c r="FX797" s="1854" t="str">
        <f t="shared" si="160"/>
        <v/>
      </c>
      <c r="FY797" s="1854" t="str">
        <f t="shared" si="161"/>
        <v/>
      </c>
      <c r="FZ797" s="1854" t="str">
        <f t="shared" si="162"/>
        <v/>
      </c>
      <c r="GA797" s="1854" t="str">
        <f t="shared" si="163"/>
        <v/>
      </c>
      <c r="GB797" s="1854" t="str">
        <f t="shared" si="164"/>
        <v/>
      </c>
      <c r="GC797" s="1854" t="str">
        <f t="shared" si="165"/>
        <v/>
      </c>
      <c r="GD797" s="1854" t="str">
        <f t="shared" si="166"/>
        <v/>
      </c>
      <c r="GE797" s="1854" t="str">
        <f t="shared" si="167"/>
        <v/>
      </c>
      <c r="GF797" s="1854" t="str">
        <f t="shared" si="168"/>
        <v/>
      </c>
      <c r="GG797" s="1854" t="str">
        <f t="shared" si="169"/>
        <v/>
      </c>
      <c r="GH797" s="1854" t="str">
        <f t="shared" si="170"/>
        <v/>
      </c>
      <c r="GI797" s="1854" t="str">
        <f t="shared" si="171"/>
        <v/>
      </c>
      <c r="GJ797" s="1854" t="str">
        <f t="shared" si="172"/>
        <v/>
      </c>
      <c r="GK797" s="1854" t="str">
        <f t="shared" si="173"/>
        <v/>
      </c>
      <c r="GL797" s="1854" t="str">
        <f t="shared" si="174"/>
        <v/>
      </c>
      <c r="GM797" s="1854" t="str">
        <f t="shared" si="175"/>
        <v/>
      </c>
      <c r="GN797" s="1854" t="str">
        <f t="shared" si="176"/>
        <v/>
      </c>
      <c r="GO797" s="1854" t="str">
        <f t="shared" si="177"/>
        <v/>
      </c>
      <c r="GP797" s="1854" t="str">
        <f t="shared" si="178"/>
        <v/>
      </c>
      <c r="GQ797" s="1854" t="str">
        <f t="shared" si="179"/>
        <v/>
      </c>
      <c r="GR797" s="1854" t="str">
        <f t="shared" si="180"/>
        <v/>
      </c>
      <c r="GS797" s="1854" t="str">
        <f t="shared" si="181"/>
        <v/>
      </c>
      <c r="GT797" s="1854" t="str">
        <f t="shared" si="182"/>
        <v/>
      </c>
      <c r="GU797" s="1854" t="str">
        <f t="shared" si="183"/>
        <v/>
      </c>
      <c r="GV797" s="1854" t="str">
        <f t="shared" si="184"/>
        <v/>
      </c>
      <c r="GW797" s="1854" t="str">
        <f t="shared" si="185"/>
        <v/>
      </c>
      <c r="GX797" s="1854" t="str">
        <f t="shared" si="186"/>
        <v/>
      </c>
      <c r="GY797" s="1854" t="str">
        <f t="shared" si="187"/>
        <v/>
      </c>
      <c r="GZ797" s="1854" t="str">
        <f t="shared" si="188"/>
        <v/>
      </c>
      <c r="HA797" s="1854" t="str">
        <f t="shared" si="189"/>
        <v/>
      </c>
      <c r="HB797" s="1854" t="str">
        <f t="shared" si="190"/>
        <v/>
      </c>
      <c r="HC797" s="1854" t="str">
        <f t="shared" si="191"/>
        <v/>
      </c>
      <c r="HD797" s="1854" t="str">
        <f t="shared" si="192"/>
        <v/>
      </c>
      <c r="HE797" s="1854" t="str">
        <f t="shared" si="193"/>
        <v/>
      </c>
      <c r="HF797" s="1854" t="str">
        <f t="shared" si="194"/>
        <v/>
      </c>
      <c r="HG797" s="1854" t="str">
        <f t="shared" si="195"/>
        <v/>
      </c>
      <c r="HH797" s="1854" t="str">
        <f t="shared" si="196"/>
        <v/>
      </c>
      <c r="HI797" s="1854" t="str">
        <f t="shared" si="197"/>
        <v/>
      </c>
      <c r="HJ797" s="1854" t="str">
        <f t="shared" si="198"/>
        <v/>
      </c>
      <c r="HK797" s="1854" t="str">
        <f t="shared" si="199"/>
        <v/>
      </c>
      <c r="HL797" s="1854" t="str">
        <f t="shared" si="200"/>
        <v/>
      </c>
      <c r="HM797" s="1854" t="str">
        <f t="shared" si="201"/>
        <v/>
      </c>
      <c r="HN797" s="1854" t="str">
        <f t="shared" si="202"/>
        <v/>
      </c>
      <c r="HO797" s="1854" t="str">
        <f t="shared" si="203"/>
        <v/>
      </c>
      <c r="HP797" s="1854" t="str">
        <f t="shared" si="204"/>
        <v/>
      </c>
      <c r="HQ797" s="1854" t="str">
        <f t="shared" si="205"/>
        <v/>
      </c>
      <c r="HR797" s="1854" t="str">
        <f t="shared" si="206"/>
        <v/>
      </c>
      <c r="HS797" s="1854" t="str">
        <f t="shared" si="207"/>
        <v/>
      </c>
      <c r="HT797" s="1854" t="str">
        <f t="shared" si="208"/>
        <v/>
      </c>
      <c r="HU797" s="1854" t="str">
        <f t="shared" si="209"/>
        <v/>
      </c>
      <c r="HV797" s="1854" t="str">
        <f t="shared" si="210"/>
        <v/>
      </c>
      <c r="HW797" s="1854" t="str">
        <f t="shared" si="211"/>
        <v/>
      </c>
      <c r="HX797" s="1854" t="str">
        <f t="shared" si="212"/>
        <v/>
      </c>
      <c r="HY797" s="1854" t="str">
        <f t="shared" si="213"/>
        <v/>
      </c>
      <c r="HZ797" s="1854" t="str">
        <f t="shared" si="214"/>
        <v/>
      </c>
      <c r="IA797" s="1854" t="str">
        <f t="shared" si="215"/>
        <v/>
      </c>
      <c r="IB797" s="1854" t="str">
        <f t="shared" si="216"/>
        <v/>
      </c>
      <c r="IC797" s="1854" t="str">
        <f t="shared" si="217"/>
        <v/>
      </c>
      <c r="ID797" s="1826" t="str">
        <f t="shared" si="218"/>
        <v/>
      </c>
      <c r="IE797" s="1826" t="str">
        <f t="shared" si="219"/>
        <v/>
      </c>
      <c r="IF797" s="1826" t="str">
        <f t="shared" si="220"/>
        <v/>
      </c>
      <c r="IG797" s="1826" t="str">
        <f t="shared" si="221"/>
        <v/>
      </c>
      <c r="IH797" s="1826"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1824">
        <f t="shared" si="243"/>
        <v>0</v>
      </c>
      <c r="JD797" s="1824">
        <f t="shared" si="244"/>
        <v>0</v>
      </c>
      <c r="JE797" s="1824">
        <f t="shared" si="245"/>
        <v>0</v>
      </c>
      <c r="JF797" s="1824">
        <f t="shared" si="246"/>
        <v>0</v>
      </c>
      <c r="JG797" s="1824">
        <f t="shared" si="247"/>
        <v>0</v>
      </c>
      <c r="JH797" s="1824">
        <f t="shared" si="248"/>
        <v>0</v>
      </c>
      <c r="JI797" s="1824">
        <f t="shared" si="249"/>
        <v>0</v>
      </c>
      <c r="JJ797" s="1824">
        <f t="shared" si="250"/>
        <v>0</v>
      </c>
      <c r="JK797" s="1824">
        <f t="shared" si="251"/>
        <v>0</v>
      </c>
      <c r="JL797" s="1824">
        <f t="shared" si="252"/>
        <v>0</v>
      </c>
      <c r="JM797" s="1824">
        <f t="shared" si="253"/>
        <v>0</v>
      </c>
      <c r="JN797" s="1824">
        <f t="shared" si="254"/>
        <v>0</v>
      </c>
      <c r="JO797" s="1824">
        <f t="shared" si="255"/>
        <v>0</v>
      </c>
      <c r="JP797" s="1824">
        <f t="shared" si="256"/>
        <v>0</v>
      </c>
      <c r="JQ797" s="1824">
        <f t="shared" si="257"/>
        <v>0</v>
      </c>
    </row>
    <row r="798" spans="1:277" ht="12" customHeight="1">
      <c r="A798" s="1837" t="str">
        <f t="shared" si="0"/>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1"/>
        <v>0</v>
      </c>
      <c r="L798" s="1851">
        <f t="shared" si="2"/>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1854" t="str">
        <f t="shared" si="133"/>
        <v/>
      </c>
      <c r="EX798" s="1854" t="str">
        <f t="shared" si="134"/>
        <v/>
      </c>
      <c r="EY798" s="1854" t="str">
        <f t="shared" si="135"/>
        <v/>
      </c>
      <c r="EZ798" s="1854" t="str">
        <f t="shared" si="136"/>
        <v/>
      </c>
      <c r="FA798" s="1854" t="str">
        <f t="shared" si="137"/>
        <v/>
      </c>
      <c r="FB798" s="1854" t="str">
        <f t="shared" si="138"/>
        <v/>
      </c>
      <c r="FC798" s="1854" t="str">
        <f t="shared" si="139"/>
        <v/>
      </c>
      <c r="FD798" s="1854" t="str">
        <f t="shared" si="140"/>
        <v/>
      </c>
      <c r="FE798" s="1854" t="str">
        <f t="shared" si="141"/>
        <v/>
      </c>
      <c r="FF798" s="1854" t="str">
        <f t="shared" si="142"/>
        <v/>
      </c>
      <c r="FG798" s="1854" t="str">
        <f t="shared" si="143"/>
        <v/>
      </c>
      <c r="FH798" s="1854" t="str">
        <f t="shared" si="144"/>
        <v/>
      </c>
      <c r="FI798" s="1854" t="str">
        <f t="shared" si="145"/>
        <v/>
      </c>
      <c r="FJ798" s="1854" t="str">
        <f t="shared" si="146"/>
        <v/>
      </c>
      <c r="FK798" s="1854" t="str">
        <f t="shared" si="147"/>
        <v/>
      </c>
      <c r="FL798" s="1854" t="str">
        <f t="shared" si="148"/>
        <v/>
      </c>
      <c r="FM798" s="1854" t="str">
        <f t="shared" si="149"/>
        <v/>
      </c>
      <c r="FN798" s="1854" t="str">
        <f t="shared" si="150"/>
        <v/>
      </c>
      <c r="FO798" s="1854" t="str">
        <f t="shared" si="151"/>
        <v/>
      </c>
      <c r="FP798" s="1854" t="str">
        <f t="shared" si="152"/>
        <v/>
      </c>
      <c r="FQ798" s="1854" t="str">
        <f t="shared" si="153"/>
        <v/>
      </c>
      <c r="FR798" s="1854" t="str">
        <f t="shared" si="154"/>
        <v/>
      </c>
      <c r="FS798" s="1854" t="str">
        <f t="shared" si="155"/>
        <v/>
      </c>
      <c r="FT798" s="1854" t="str">
        <f t="shared" si="156"/>
        <v/>
      </c>
      <c r="FU798" s="1854" t="str">
        <f t="shared" si="157"/>
        <v/>
      </c>
      <c r="FV798" s="1854" t="str">
        <f t="shared" si="158"/>
        <v/>
      </c>
      <c r="FW798" s="1854" t="str">
        <f t="shared" si="159"/>
        <v/>
      </c>
      <c r="FX798" s="1854" t="str">
        <f t="shared" si="160"/>
        <v/>
      </c>
      <c r="FY798" s="1854" t="str">
        <f t="shared" si="161"/>
        <v/>
      </c>
      <c r="FZ798" s="1854" t="str">
        <f t="shared" si="162"/>
        <v/>
      </c>
      <c r="GA798" s="1854" t="str">
        <f t="shared" si="163"/>
        <v/>
      </c>
      <c r="GB798" s="1854" t="str">
        <f t="shared" si="164"/>
        <v/>
      </c>
      <c r="GC798" s="1854" t="str">
        <f t="shared" si="165"/>
        <v/>
      </c>
      <c r="GD798" s="1854" t="str">
        <f t="shared" si="166"/>
        <v/>
      </c>
      <c r="GE798" s="1854" t="str">
        <f t="shared" si="167"/>
        <v/>
      </c>
      <c r="GF798" s="1854" t="str">
        <f t="shared" si="168"/>
        <v/>
      </c>
      <c r="GG798" s="1854" t="str">
        <f t="shared" si="169"/>
        <v/>
      </c>
      <c r="GH798" s="1854" t="str">
        <f t="shared" si="170"/>
        <v/>
      </c>
      <c r="GI798" s="1854" t="str">
        <f t="shared" si="171"/>
        <v/>
      </c>
      <c r="GJ798" s="1854" t="str">
        <f t="shared" si="172"/>
        <v/>
      </c>
      <c r="GK798" s="1854" t="str">
        <f t="shared" si="173"/>
        <v/>
      </c>
      <c r="GL798" s="1854" t="str">
        <f t="shared" si="174"/>
        <v/>
      </c>
      <c r="GM798" s="1854" t="str">
        <f t="shared" si="175"/>
        <v/>
      </c>
      <c r="GN798" s="1854" t="str">
        <f t="shared" si="176"/>
        <v/>
      </c>
      <c r="GO798" s="1854" t="str">
        <f t="shared" si="177"/>
        <v/>
      </c>
      <c r="GP798" s="1854" t="str">
        <f t="shared" si="178"/>
        <v/>
      </c>
      <c r="GQ798" s="1854" t="str">
        <f t="shared" si="179"/>
        <v/>
      </c>
      <c r="GR798" s="1854" t="str">
        <f t="shared" si="180"/>
        <v/>
      </c>
      <c r="GS798" s="1854" t="str">
        <f t="shared" si="181"/>
        <v/>
      </c>
      <c r="GT798" s="1854" t="str">
        <f t="shared" si="182"/>
        <v/>
      </c>
      <c r="GU798" s="1854" t="str">
        <f t="shared" si="183"/>
        <v/>
      </c>
      <c r="GV798" s="1854" t="str">
        <f t="shared" si="184"/>
        <v/>
      </c>
      <c r="GW798" s="1854" t="str">
        <f t="shared" si="185"/>
        <v/>
      </c>
      <c r="GX798" s="1854" t="str">
        <f t="shared" si="186"/>
        <v/>
      </c>
      <c r="GY798" s="1854" t="str">
        <f t="shared" si="187"/>
        <v/>
      </c>
      <c r="GZ798" s="1854" t="str">
        <f t="shared" si="188"/>
        <v/>
      </c>
      <c r="HA798" s="1854" t="str">
        <f t="shared" si="189"/>
        <v/>
      </c>
      <c r="HB798" s="1854" t="str">
        <f t="shared" si="190"/>
        <v/>
      </c>
      <c r="HC798" s="1854" t="str">
        <f t="shared" si="191"/>
        <v/>
      </c>
      <c r="HD798" s="1854" t="str">
        <f t="shared" si="192"/>
        <v/>
      </c>
      <c r="HE798" s="1854" t="str">
        <f t="shared" si="193"/>
        <v/>
      </c>
      <c r="HF798" s="1854" t="str">
        <f t="shared" si="194"/>
        <v/>
      </c>
      <c r="HG798" s="1854" t="str">
        <f t="shared" si="195"/>
        <v/>
      </c>
      <c r="HH798" s="1854" t="str">
        <f t="shared" si="196"/>
        <v/>
      </c>
      <c r="HI798" s="1854" t="str">
        <f t="shared" si="197"/>
        <v/>
      </c>
      <c r="HJ798" s="1854" t="str">
        <f t="shared" si="198"/>
        <v/>
      </c>
      <c r="HK798" s="1854" t="str">
        <f t="shared" si="199"/>
        <v/>
      </c>
      <c r="HL798" s="1854" t="str">
        <f t="shared" si="200"/>
        <v/>
      </c>
      <c r="HM798" s="1854" t="str">
        <f t="shared" si="201"/>
        <v/>
      </c>
      <c r="HN798" s="1854" t="str">
        <f t="shared" si="202"/>
        <v/>
      </c>
      <c r="HO798" s="1854" t="str">
        <f t="shared" si="203"/>
        <v/>
      </c>
      <c r="HP798" s="1854" t="str">
        <f t="shared" si="204"/>
        <v/>
      </c>
      <c r="HQ798" s="1854" t="str">
        <f t="shared" si="205"/>
        <v/>
      </c>
      <c r="HR798" s="1854" t="str">
        <f t="shared" si="206"/>
        <v/>
      </c>
      <c r="HS798" s="1854" t="str">
        <f t="shared" si="207"/>
        <v/>
      </c>
      <c r="HT798" s="1854" t="str">
        <f t="shared" si="208"/>
        <v/>
      </c>
      <c r="HU798" s="1854" t="str">
        <f t="shared" si="209"/>
        <v/>
      </c>
      <c r="HV798" s="1854" t="str">
        <f t="shared" si="210"/>
        <v/>
      </c>
      <c r="HW798" s="1854" t="str">
        <f t="shared" si="211"/>
        <v/>
      </c>
      <c r="HX798" s="1854" t="str">
        <f t="shared" si="212"/>
        <v/>
      </c>
      <c r="HY798" s="1854" t="str">
        <f t="shared" si="213"/>
        <v/>
      </c>
      <c r="HZ798" s="1854" t="str">
        <f t="shared" si="214"/>
        <v/>
      </c>
      <c r="IA798" s="1854" t="str">
        <f t="shared" si="215"/>
        <v/>
      </c>
      <c r="IB798" s="1854" t="str">
        <f t="shared" si="216"/>
        <v/>
      </c>
      <c r="IC798" s="1854" t="str">
        <f t="shared" si="217"/>
        <v/>
      </c>
      <c r="ID798" s="1826" t="str">
        <f t="shared" si="218"/>
        <v/>
      </c>
      <c r="IE798" s="1826" t="str">
        <f t="shared" si="219"/>
        <v/>
      </c>
      <c r="IF798" s="1826" t="str">
        <f t="shared" si="220"/>
        <v/>
      </c>
      <c r="IG798" s="1826" t="str">
        <f t="shared" si="221"/>
        <v/>
      </c>
      <c r="IH798" s="1826"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1824">
        <f t="shared" si="243"/>
        <v>0</v>
      </c>
      <c r="JD798" s="1824">
        <f t="shared" si="244"/>
        <v>0</v>
      </c>
      <c r="JE798" s="1824">
        <f t="shared" si="245"/>
        <v>0</v>
      </c>
      <c r="JF798" s="1824">
        <f t="shared" si="246"/>
        <v>0</v>
      </c>
      <c r="JG798" s="1824">
        <f t="shared" si="247"/>
        <v>0</v>
      </c>
      <c r="JH798" s="1824">
        <f t="shared" si="248"/>
        <v>0</v>
      </c>
      <c r="JI798" s="1824">
        <f t="shared" si="249"/>
        <v>0</v>
      </c>
      <c r="JJ798" s="1824">
        <f t="shared" si="250"/>
        <v>0</v>
      </c>
      <c r="JK798" s="1824">
        <f t="shared" si="251"/>
        <v>0</v>
      </c>
      <c r="JL798" s="1824">
        <f t="shared" si="252"/>
        <v>0</v>
      </c>
      <c r="JM798" s="1824">
        <f t="shared" si="253"/>
        <v>0</v>
      </c>
      <c r="JN798" s="1824">
        <f t="shared" si="254"/>
        <v>0</v>
      </c>
      <c r="JO798" s="1824">
        <f t="shared" si="255"/>
        <v>0</v>
      </c>
      <c r="JP798" s="1824">
        <f t="shared" si="256"/>
        <v>0</v>
      </c>
      <c r="JQ798" s="1824">
        <f t="shared" si="257"/>
        <v>0</v>
      </c>
    </row>
    <row r="799" spans="1:277" ht="12" customHeight="1">
      <c r="A799" s="1837" t="str">
        <f t="shared" si="0"/>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1"/>
        <v>0</v>
      </c>
      <c r="L799" s="1851">
        <f t="shared" si="2"/>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1854" t="str">
        <f t="shared" si="133"/>
        <v/>
      </c>
      <c r="EX799" s="1854" t="str">
        <f t="shared" si="134"/>
        <v/>
      </c>
      <c r="EY799" s="1854" t="str">
        <f t="shared" si="135"/>
        <v/>
      </c>
      <c r="EZ799" s="1854" t="str">
        <f t="shared" si="136"/>
        <v/>
      </c>
      <c r="FA799" s="1854" t="str">
        <f t="shared" si="137"/>
        <v/>
      </c>
      <c r="FB799" s="1854" t="str">
        <f t="shared" si="138"/>
        <v/>
      </c>
      <c r="FC799" s="1854" t="str">
        <f t="shared" si="139"/>
        <v/>
      </c>
      <c r="FD799" s="1854" t="str">
        <f t="shared" si="140"/>
        <v/>
      </c>
      <c r="FE799" s="1854" t="str">
        <f t="shared" si="141"/>
        <v/>
      </c>
      <c r="FF799" s="1854" t="str">
        <f t="shared" si="142"/>
        <v/>
      </c>
      <c r="FG799" s="1854" t="str">
        <f t="shared" si="143"/>
        <v/>
      </c>
      <c r="FH799" s="1854" t="str">
        <f t="shared" si="144"/>
        <v/>
      </c>
      <c r="FI799" s="1854" t="str">
        <f t="shared" si="145"/>
        <v/>
      </c>
      <c r="FJ799" s="1854" t="str">
        <f t="shared" si="146"/>
        <v/>
      </c>
      <c r="FK799" s="1854" t="str">
        <f t="shared" si="147"/>
        <v/>
      </c>
      <c r="FL799" s="1854" t="str">
        <f t="shared" si="148"/>
        <v/>
      </c>
      <c r="FM799" s="1854" t="str">
        <f t="shared" si="149"/>
        <v/>
      </c>
      <c r="FN799" s="1854" t="str">
        <f t="shared" si="150"/>
        <v/>
      </c>
      <c r="FO799" s="1854" t="str">
        <f t="shared" si="151"/>
        <v/>
      </c>
      <c r="FP799" s="1854" t="str">
        <f t="shared" si="152"/>
        <v/>
      </c>
      <c r="FQ799" s="1854" t="str">
        <f t="shared" si="153"/>
        <v/>
      </c>
      <c r="FR799" s="1854" t="str">
        <f t="shared" si="154"/>
        <v/>
      </c>
      <c r="FS799" s="1854" t="str">
        <f t="shared" si="155"/>
        <v/>
      </c>
      <c r="FT799" s="1854" t="str">
        <f t="shared" si="156"/>
        <v/>
      </c>
      <c r="FU799" s="1854" t="str">
        <f t="shared" si="157"/>
        <v/>
      </c>
      <c r="FV799" s="1854" t="str">
        <f t="shared" si="158"/>
        <v/>
      </c>
      <c r="FW799" s="1854" t="str">
        <f t="shared" si="159"/>
        <v/>
      </c>
      <c r="FX799" s="1854" t="str">
        <f t="shared" si="160"/>
        <v/>
      </c>
      <c r="FY799" s="1854" t="str">
        <f t="shared" si="161"/>
        <v/>
      </c>
      <c r="FZ799" s="1854" t="str">
        <f t="shared" si="162"/>
        <v/>
      </c>
      <c r="GA799" s="1854" t="str">
        <f t="shared" si="163"/>
        <v/>
      </c>
      <c r="GB799" s="1854" t="str">
        <f t="shared" si="164"/>
        <v/>
      </c>
      <c r="GC799" s="1854" t="str">
        <f t="shared" si="165"/>
        <v/>
      </c>
      <c r="GD799" s="1854" t="str">
        <f t="shared" si="166"/>
        <v/>
      </c>
      <c r="GE799" s="1854" t="str">
        <f t="shared" si="167"/>
        <v/>
      </c>
      <c r="GF799" s="1854" t="str">
        <f t="shared" si="168"/>
        <v/>
      </c>
      <c r="GG799" s="1854" t="str">
        <f t="shared" si="169"/>
        <v/>
      </c>
      <c r="GH799" s="1854" t="str">
        <f t="shared" si="170"/>
        <v/>
      </c>
      <c r="GI799" s="1854" t="str">
        <f t="shared" si="171"/>
        <v/>
      </c>
      <c r="GJ799" s="1854" t="str">
        <f t="shared" si="172"/>
        <v/>
      </c>
      <c r="GK799" s="1854" t="str">
        <f t="shared" si="173"/>
        <v/>
      </c>
      <c r="GL799" s="1854" t="str">
        <f t="shared" si="174"/>
        <v/>
      </c>
      <c r="GM799" s="1854" t="str">
        <f t="shared" si="175"/>
        <v/>
      </c>
      <c r="GN799" s="1854" t="str">
        <f t="shared" si="176"/>
        <v/>
      </c>
      <c r="GO799" s="1854" t="str">
        <f t="shared" si="177"/>
        <v/>
      </c>
      <c r="GP799" s="1854" t="str">
        <f t="shared" si="178"/>
        <v/>
      </c>
      <c r="GQ799" s="1854" t="str">
        <f t="shared" si="179"/>
        <v/>
      </c>
      <c r="GR799" s="1854" t="str">
        <f t="shared" si="180"/>
        <v/>
      </c>
      <c r="GS799" s="1854" t="str">
        <f t="shared" si="181"/>
        <v/>
      </c>
      <c r="GT799" s="1854" t="str">
        <f t="shared" si="182"/>
        <v/>
      </c>
      <c r="GU799" s="1854" t="str">
        <f t="shared" si="183"/>
        <v/>
      </c>
      <c r="GV799" s="1854" t="str">
        <f t="shared" si="184"/>
        <v/>
      </c>
      <c r="GW799" s="1854" t="str">
        <f t="shared" si="185"/>
        <v/>
      </c>
      <c r="GX799" s="1854" t="str">
        <f t="shared" si="186"/>
        <v/>
      </c>
      <c r="GY799" s="1854" t="str">
        <f t="shared" si="187"/>
        <v/>
      </c>
      <c r="GZ799" s="1854" t="str">
        <f t="shared" si="188"/>
        <v/>
      </c>
      <c r="HA799" s="1854" t="str">
        <f t="shared" si="189"/>
        <v/>
      </c>
      <c r="HB799" s="1854" t="str">
        <f t="shared" si="190"/>
        <v/>
      </c>
      <c r="HC799" s="1854" t="str">
        <f t="shared" si="191"/>
        <v/>
      </c>
      <c r="HD799" s="1854" t="str">
        <f t="shared" si="192"/>
        <v/>
      </c>
      <c r="HE799" s="1854" t="str">
        <f t="shared" si="193"/>
        <v/>
      </c>
      <c r="HF799" s="1854" t="str">
        <f t="shared" si="194"/>
        <v/>
      </c>
      <c r="HG799" s="1854" t="str">
        <f t="shared" si="195"/>
        <v/>
      </c>
      <c r="HH799" s="1854" t="str">
        <f t="shared" si="196"/>
        <v/>
      </c>
      <c r="HI799" s="1854" t="str">
        <f t="shared" si="197"/>
        <v/>
      </c>
      <c r="HJ799" s="1854" t="str">
        <f t="shared" si="198"/>
        <v/>
      </c>
      <c r="HK799" s="1854" t="str">
        <f t="shared" si="199"/>
        <v/>
      </c>
      <c r="HL799" s="1854" t="str">
        <f t="shared" si="200"/>
        <v/>
      </c>
      <c r="HM799" s="1854" t="str">
        <f t="shared" si="201"/>
        <v/>
      </c>
      <c r="HN799" s="1854" t="str">
        <f t="shared" si="202"/>
        <v/>
      </c>
      <c r="HO799" s="1854" t="str">
        <f t="shared" si="203"/>
        <v/>
      </c>
      <c r="HP799" s="1854" t="str">
        <f t="shared" si="204"/>
        <v/>
      </c>
      <c r="HQ799" s="1854" t="str">
        <f t="shared" si="205"/>
        <v/>
      </c>
      <c r="HR799" s="1854" t="str">
        <f t="shared" si="206"/>
        <v/>
      </c>
      <c r="HS799" s="1854" t="str">
        <f t="shared" si="207"/>
        <v/>
      </c>
      <c r="HT799" s="1854" t="str">
        <f t="shared" si="208"/>
        <v/>
      </c>
      <c r="HU799" s="1854" t="str">
        <f t="shared" si="209"/>
        <v/>
      </c>
      <c r="HV799" s="1854" t="str">
        <f t="shared" si="210"/>
        <v/>
      </c>
      <c r="HW799" s="1854" t="str">
        <f t="shared" si="211"/>
        <v/>
      </c>
      <c r="HX799" s="1854" t="str">
        <f t="shared" si="212"/>
        <v/>
      </c>
      <c r="HY799" s="1854" t="str">
        <f t="shared" si="213"/>
        <v/>
      </c>
      <c r="HZ799" s="1854" t="str">
        <f t="shared" si="214"/>
        <v/>
      </c>
      <c r="IA799" s="1854" t="str">
        <f t="shared" si="215"/>
        <v/>
      </c>
      <c r="IB799" s="1854" t="str">
        <f t="shared" si="216"/>
        <v/>
      </c>
      <c r="IC799" s="1854" t="str">
        <f t="shared" si="217"/>
        <v/>
      </c>
      <c r="ID799" s="1826" t="str">
        <f t="shared" si="218"/>
        <v/>
      </c>
      <c r="IE799" s="1826" t="str">
        <f t="shared" si="219"/>
        <v/>
      </c>
      <c r="IF799" s="1826" t="str">
        <f t="shared" si="220"/>
        <v/>
      </c>
      <c r="IG799" s="1826" t="str">
        <f t="shared" si="221"/>
        <v/>
      </c>
      <c r="IH799" s="1826"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1824">
        <f t="shared" si="243"/>
        <v>0</v>
      </c>
      <c r="JD799" s="1824">
        <f t="shared" si="244"/>
        <v>0</v>
      </c>
      <c r="JE799" s="1824">
        <f t="shared" si="245"/>
        <v>0</v>
      </c>
      <c r="JF799" s="1824">
        <f t="shared" si="246"/>
        <v>0</v>
      </c>
      <c r="JG799" s="1824">
        <f t="shared" si="247"/>
        <v>0</v>
      </c>
      <c r="JH799" s="1824">
        <f t="shared" si="248"/>
        <v>0</v>
      </c>
      <c r="JI799" s="1824">
        <f t="shared" si="249"/>
        <v>0</v>
      </c>
      <c r="JJ799" s="1824">
        <f t="shared" si="250"/>
        <v>0</v>
      </c>
      <c r="JK799" s="1824">
        <f t="shared" si="251"/>
        <v>0</v>
      </c>
      <c r="JL799" s="1824">
        <f t="shared" si="252"/>
        <v>0</v>
      </c>
      <c r="JM799" s="1824">
        <f t="shared" si="253"/>
        <v>0</v>
      </c>
      <c r="JN799" s="1824">
        <f t="shared" si="254"/>
        <v>0</v>
      </c>
      <c r="JO799" s="1824">
        <f t="shared" si="255"/>
        <v>0</v>
      </c>
      <c r="JP799" s="1824">
        <f t="shared" si="256"/>
        <v>0</v>
      </c>
      <c r="JQ799" s="1824">
        <f t="shared" si="257"/>
        <v>0</v>
      </c>
    </row>
    <row r="800" spans="1:277" ht="12" customHeight="1">
      <c r="A800" s="1837" t="str">
        <f t="shared" si="0"/>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1"/>
        <v>0</v>
      </c>
      <c r="L800" s="1851">
        <f t="shared" si="2"/>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1854" t="str">
        <f t="shared" si="133"/>
        <v/>
      </c>
      <c r="EX800" s="1854" t="str">
        <f t="shared" si="134"/>
        <v/>
      </c>
      <c r="EY800" s="1854" t="str">
        <f t="shared" si="135"/>
        <v/>
      </c>
      <c r="EZ800" s="1854" t="str">
        <f t="shared" si="136"/>
        <v/>
      </c>
      <c r="FA800" s="1854" t="str">
        <f t="shared" si="137"/>
        <v/>
      </c>
      <c r="FB800" s="1854" t="str">
        <f t="shared" si="138"/>
        <v/>
      </c>
      <c r="FC800" s="1854" t="str">
        <f t="shared" si="139"/>
        <v/>
      </c>
      <c r="FD800" s="1854" t="str">
        <f t="shared" si="140"/>
        <v/>
      </c>
      <c r="FE800" s="1854" t="str">
        <f t="shared" si="141"/>
        <v/>
      </c>
      <c r="FF800" s="1854" t="str">
        <f t="shared" si="142"/>
        <v/>
      </c>
      <c r="FG800" s="1854" t="str">
        <f t="shared" si="143"/>
        <v/>
      </c>
      <c r="FH800" s="1854" t="str">
        <f t="shared" si="144"/>
        <v/>
      </c>
      <c r="FI800" s="1854" t="str">
        <f t="shared" si="145"/>
        <v/>
      </c>
      <c r="FJ800" s="1854" t="str">
        <f t="shared" si="146"/>
        <v/>
      </c>
      <c r="FK800" s="1854" t="str">
        <f t="shared" si="147"/>
        <v/>
      </c>
      <c r="FL800" s="1854" t="str">
        <f t="shared" si="148"/>
        <v/>
      </c>
      <c r="FM800" s="1854" t="str">
        <f t="shared" si="149"/>
        <v/>
      </c>
      <c r="FN800" s="1854" t="str">
        <f t="shared" si="150"/>
        <v/>
      </c>
      <c r="FO800" s="1854" t="str">
        <f t="shared" si="151"/>
        <v/>
      </c>
      <c r="FP800" s="1854" t="str">
        <f t="shared" si="152"/>
        <v/>
      </c>
      <c r="FQ800" s="1854" t="str">
        <f t="shared" si="153"/>
        <v/>
      </c>
      <c r="FR800" s="1854" t="str">
        <f t="shared" si="154"/>
        <v/>
      </c>
      <c r="FS800" s="1854" t="str">
        <f t="shared" si="155"/>
        <v/>
      </c>
      <c r="FT800" s="1854" t="str">
        <f t="shared" si="156"/>
        <v/>
      </c>
      <c r="FU800" s="1854" t="str">
        <f t="shared" si="157"/>
        <v/>
      </c>
      <c r="FV800" s="1854" t="str">
        <f t="shared" si="158"/>
        <v/>
      </c>
      <c r="FW800" s="1854" t="str">
        <f t="shared" si="159"/>
        <v/>
      </c>
      <c r="FX800" s="1854" t="str">
        <f t="shared" si="160"/>
        <v/>
      </c>
      <c r="FY800" s="1854" t="str">
        <f t="shared" si="161"/>
        <v/>
      </c>
      <c r="FZ800" s="1854" t="str">
        <f t="shared" si="162"/>
        <v/>
      </c>
      <c r="GA800" s="1854" t="str">
        <f t="shared" si="163"/>
        <v/>
      </c>
      <c r="GB800" s="1854" t="str">
        <f t="shared" si="164"/>
        <v/>
      </c>
      <c r="GC800" s="1854" t="str">
        <f t="shared" si="165"/>
        <v/>
      </c>
      <c r="GD800" s="1854" t="str">
        <f t="shared" si="166"/>
        <v/>
      </c>
      <c r="GE800" s="1854" t="str">
        <f t="shared" si="167"/>
        <v/>
      </c>
      <c r="GF800" s="1854" t="str">
        <f t="shared" si="168"/>
        <v/>
      </c>
      <c r="GG800" s="1854" t="str">
        <f t="shared" si="169"/>
        <v/>
      </c>
      <c r="GH800" s="1854" t="str">
        <f t="shared" si="170"/>
        <v/>
      </c>
      <c r="GI800" s="1854" t="str">
        <f t="shared" si="171"/>
        <v/>
      </c>
      <c r="GJ800" s="1854" t="str">
        <f t="shared" si="172"/>
        <v/>
      </c>
      <c r="GK800" s="1854" t="str">
        <f t="shared" si="173"/>
        <v/>
      </c>
      <c r="GL800" s="1854" t="str">
        <f t="shared" si="174"/>
        <v/>
      </c>
      <c r="GM800" s="1854" t="str">
        <f t="shared" si="175"/>
        <v/>
      </c>
      <c r="GN800" s="1854" t="str">
        <f t="shared" si="176"/>
        <v/>
      </c>
      <c r="GO800" s="1854" t="str">
        <f t="shared" si="177"/>
        <v/>
      </c>
      <c r="GP800" s="1854" t="str">
        <f t="shared" si="178"/>
        <v/>
      </c>
      <c r="GQ800" s="1854" t="str">
        <f t="shared" si="179"/>
        <v/>
      </c>
      <c r="GR800" s="1854" t="str">
        <f t="shared" si="180"/>
        <v/>
      </c>
      <c r="GS800" s="1854" t="str">
        <f t="shared" si="181"/>
        <v/>
      </c>
      <c r="GT800" s="1854" t="str">
        <f t="shared" si="182"/>
        <v/>
      </c>
      <c r="GU800" s="1854" t="str">
        <f t="shared" si="183"/>
        <v/>
      </c>
      <c r="GV800" s="1854" t="str">
        <f t="shared" si="184"/>
        <v/>
      </c>
      <c r="GW800" s="1854" t="str">
        <f t="shared" si="185"/>
        <v/>
      </c>
      <c r="GX800" s="1854" t="str">
        <f t="shared" si="186"/>
        <v/>
      </c>
      <c r="GY800" s="1854" t="str">
        <f t="shared" si="187"/>
        <v/>
      </c>
      <c r="GZ800" s="1854" t="str">
        <f t="shared" si="188"/>
        <v/>
      </c>
      <c r="HA800" s="1854" t="str">
        <f t="shared" si="189"/>
        <v/>
      </c>
      <c r="HB800" s="1854" t="str">
        <f t="shared" si="190"/>
        <v/>
      </c>
      <c r="HC800" s="1854" t="str">
        <f t="shared" si="191"/>
        <v/>
      </c>
      <c r="HD800" s="1854" t="str">
        <f t="shared" si="192"/>
        <v/>
      </c>
      <c r="HE800" s="1854" t="str">
        <f t="shared" si="193"/>
        <v/>
      </c>
      <c r="HF800" s="1854" t="str">
        <f t="shared" si="194"/>
        <v/>
      </c>
      <c r="HG800" s="1854" t="str">
        <f t="shared" si="195"/>
        <v/>
      </c>
      <c r="HH800" s="1854" t="str">
        <f t="shared" si="196"/>
        <v/>
      </c>
      <c r="HI800" s="1854" t="str">
        <f t="shared" si="197"/>
        <v/>
      </c>
      <c r="HJ800" s="1854" t="str">
        <f t="shared" si="198"/>
        <v/>
      </c>
      <c r="HK800" s="1854" t="str">
        <f t="shared" si="199"/>
        <v/>
      </c>
      <c r="HL800" s="1854" t="str">
        <f t="shared" si="200"/>
        <v/>
      </c>
      <c r="HM800" s="1854" t="str">
        <f t="shared" si="201"/>
        <v/>
      </c>
      <c r="HN800" s="1854" t="str">
        <f t="shared" si="202"/>
        <v/>
      </c>
      <c r="HO800" s="1854" t="str">
        <f t="shared" si="203"/>
        <v/>
      </c>
      <c r="HP800" s="1854" t="str">
        <f t="shared" si="204"/>
        <v/>
      </c>
      <c r="HQ800" s="1854" t="str">
        <f t="shared" si="205"/>
        <v/>
      </c>
      <c r="HR800" s="1854" t="str">
        <f t="shared" si="206"/>
        <v/>
      </c>
      <c r="HS800" s="1854" t="str">
        <f t="shared" si="207"/>
        <v/>
      </c>
      <c r="HT800" s="1854" t="str">
        <f t="shared" si="208"/>
        <v/>
      </c>
      <c r="HU800" s="1854" t="str">
        <f t="shared" si="209"/>
        <v/>
      </c>
      <c r="HV800" s="1854" t="str">
        <f t="shared" si="210"/>
        <v/>
      </c>
      <c r="HW800" s="1854" t="str">
        <f t="shared" si="211"/>
        <v/>
      </c>
      <c r="HX800" s="1854" t="str">
        <f t="shared" si="212"/>
        <v/>
      </c>
      <c r="HY800" s="1854" t="str">
        <f t="shared" si="213"/>
        <v/>
      </c>
      <c r="HZ800" s="1854" t="str">
        <f t="shared" si="214"/>
        <v/>
      </c>
      <c r="IA800" s="1854" t="str">
        <f t="shared" si="215"/>
        <v/>
      </c>
      <c r="IB800" s="1854" t="str">
        <f t="shared" si="216"/>
        <v/>
      </c>
      <c r="IC800" s="1854" t="str">
        <f t="shared" si="217"/>
        <v/>
      </c>
      <c r="ID800" s="1826" t="str">
        <f t="shared" si="218"/>
        <v/>
      </c>
      <c r="IE800" s="1826" t="str">
        <f t="shared" si="219"/>
        <v/>
      </c>
      <c r="IF800" s="1826" t="str">
        <f t="shared" si="220"/>
        <v/>
      </c>
      <c r="IG800" s="1826" t="str">
        <f t="shared" si="221"/>
        <v/>
      </c>
      <c r="IH800" s="1826"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1824">
        <f t="shared" si="243"/>
        <v>0</v>
      </c>
      <c r="JD800" s="1824">
        <f t="shared" si="244"/>
        <v>0</v>
      </c>
      <c r="JE800" s="1824">
        <f t="shared" si="245"/>
        <v>0</v>
      </c>
      <c r="JF800" s="1824">
        <f t="shared" si="246"/>
        <v>0</v>
      </c>
      <c r="JG800" s="1824">
        <f t="shared" si="247"/>
        <v>0</v>
      </c>
      <c r="JH800" s="1824">
        <f t="shared" si="248"/>
        <v>0</v>
      </c>
      <c r="JI800" s="1824">
        <f t="shared" si="249"/>
        <v>0</v>
      </c>
      <c r="JJ800" s="1824">
        <f t="shared" si="250"/>
        <v>0</v>
      </c>
      <c r="JK800" s="1824">
        <f t="shared" si="251"/>
        <v>0</v>
      </c>
      <c r="JL800" s="1824">
        <f t="shared" si="252"/>
        <v>0</v>
      </c>
      <c r="JM800" s="1824">
        <f t="shared" si="253"/>
        <v>0</v>
      </c>
      <c r="JN800" s="1824">
        <f t="shared" si="254"/>
        <v>0</v>
      </c>
      <c r="JO800" s="1824">
        <f t="shared" si="255"/>
        <v>0</v>
      </c>
      <c r="JP800" s="1824">
        <f t="shared" si="256"/>
        <v>0</v>
      </c>
      <c r="JQ800" s="1824">
        <f t="shared" si="257"/>
        <v>0</v>
      </c>
    </row>
    <row r="801" spans="1:278" ht="12" customHeight="1">
      <c r="A801" s="1837" t="str">
        <f t="shared" si="0"/>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1"/>
        <v>0</v>
      </c>
      <c r="L801" s="1851">
        <f t="shared" si="2"/>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1854" t="str">
        <f t="shared" si="133"/>
        <v/>
      </c>
      <c r="EX801" s="1854" t="str">
        <f t="shared" si="134"/>
        <v/>
      </c>
      <c r="EY801" s="1854" t="str">
        <f t="shared" si="135"/>
        <v/>
      </c>
      <c r="EZ801" s="1854" t="str">
        <f t="shared" si="136"/>
        <v/>
      </c>
      <c r="FA801" s="1854" t="str">
        <f t="shared" si="137"/>
        <v/>
      </c>
      <c r="FB801" s="1854" t="str">
        <f t="shared" si="138"/>
        <v/>
      </c>
      <c r="FC801" s="1854" t="str">
        <f t="shared" si="139"/>
        <v/>
      </c>
      <c r="FD801" s="1854" t="str">
        <f t="shared" si="140"/>
        <v/>
      </c>
      <c r="FE801" s="1854" t="str">
        <f t="shared" si="141"/>
        <v/>
      </c>
      <c r="FF801" s="1854" t="str">
        <f t="shared" si="142"/>
        <v/>
      </c>
      <c r="FG801" s="1854" t="str">
        <f t="shared" si="143"/>
        <v/>
      </c>
      <c r="FH801" s="1854" t="str">
        <f t="shared" si="144"/>
        <v/>
      </c>
      <c r="FI801" s="1854" t="str">
        <f t="shared" si="145"/>
        <v/>
      </c>
      <c r="FJ801" s="1854" t="str">
        <f t="shared" si="146"/>
        <v/>
      </c>
      <c r="FK801" s="1854" t="str">
        <f t="shared" si="147"/>
        <v/>
      </c>
      <c r="FL801" s="1854" t="str">
        <f t="shared" si="148"/>
        <v/>
      </c>
      <c r="FM801" s="1854" t="str">
        <f t="shared" si="149"/>
        <v/>
      </c>
      <c r="FN801" s="1854" t="str">
        <f t="shared" si="150"/>
        <v/>
      </c>
      <c r="FO801" s="1854" t="str">
        <f t="shared" si="151"/>
        <v/>
      </c>
      <c r="FP801" s="1854" t="str">
        <f t="shared" si="152"/>
        <v/>
      </c>
      <c r="FQ801" s="1854" t="str">
        <f t="shared" si="153"/>
        <v/>
      </c>
      <c r="FR801" s="1854" t="str">
        <f t="shared" si="154"/>
        <v/>
      </c>
      <c r="FS801" s="1854" t="str">
        <f t="shared" si="155"/>
        <v/>
      </c>
      <c r="FT801" s="1854" t="str">
        <f t="shared" si="156"/>
        <v/>
      </c>
      <c r="FU801" s="1854" t="str">
        <f t="shared" si="157"/>
        <v/>
      </c>
      <c r="FV801" s="1854" t="str">
        <f t="shared" si="158"/>
        <v/>
      </c>
      <c r="FW801" s="1854" t="str">
        <f t="shared" si="159"/>
        <v/>
      </c>
      <c r="FX801" s="1854" t="str">
        <f t="shared" si="160"/>
        <v/>
      </c>
      <c r="FY801" s="1854" t="str">
        <f t="shared" si="161"/>
        <v/>
      </c>
      <c r="FZ801" s="1854" t="str">
        <f t="shared" si="162"/>
        <v/>
      </c>
      <c r="GA801" s="1854" t="str">
        <f t="shared" si="163"/>
        <v/>
      </c>
      <c r="GB801" s="1854" t="str">
        <f t="shared" si="164"/>
        <v/>
      </c>
      <c r="GC801" s="1854" t="str">
        <f t="shared" si="165"/>
        <v/>
      </c>
      <c r="GD801" s="1854" t="str">
        <f t="shared" si="166"/>
        <v/>
      </c>
      <c r="GE801" s="1854" t="str">
        <f t="shared" si="167"/>
        <v/>
      </c>
      <c r="GF801" s="1854" t="str">
        <f t="shared" si="168"/>
        <v/>
      </c>
      <c r="GG801" s="1854" t="str">
        <f t="shared" si="169"/>
        <v/>
      </c>
      <c r="GH801" s="1854" t="str">
        <f t="shared" si="170"/>
        <v/>
      </c>
      <c r="GI801" s="1854" t="str">
        <f t="shared" si="171"/>
        <v/>
      </c>
      <c r="GJ801" s="1854" t="str">
        <f t="shared" si="172"/>
        <v/>
      </c>
      <c r="GK801" s="1854" t="str">
        <f t="shared" si="173"/>
        <v/>
      </c>
      <c r="GL801" s="1854" t="str">
        <f t="shared" si="174"/>
        <v/>
      </c>
      <c r="GM801" s="1854" t="str">
        <f t="shared" si="175"/>
        <v/>
      </c>
      <c r="GN801" s="1854" t="str">
        <f t="shared" si="176"/>
        <v/>
      </c>
      <c r="GO801" s="1854" t="str">
        <f t="shared" si="177"/>
        <v/>
      </c>
      <c r="GP801" s="1854" t="str">
        <f t="shared" si="178"/>
        <v/>
      </c>
      <c r="GQ801" s="1854" t="str">
        <f t="shared" si="179"/>
        <v/>
      </c>
      <c r="GR801" s="1854" t="str">
        <f t="shared" si="180"/>
        <v/>
      </c>
      <c r="GS801" s="1854" t="str">
        <f t="shared" si="181"/>
        <v/>
      </c>
      <c r="GT801" s="1854" t="str">
        <f t="shared" si="182"/>
        <v/>
      </c>
      <c r="GU801" s="1854" t="str">
        <f t="shared" si="183"/>
        <v/>
      </c>
      <c r="GV801" s="1854" t="str">
        <f t="shared" si="184"/>
        <v/>
      </c>
      <c r="GW801" s="1854" t="str">
        <f t="shared" si="185"/>
        <v/>
      </c>
      <c r="GX801" s="1854" t="str">
        <f t="shared" si="186"/>
        <v/>
      </c>
      <c r="GY801" s="1854" t="str">
        <f t="shared" si="187"/>
        <v/>
      </c>
      <c r="GZ801" s="1854" t="str">
        <f t="shared" si="188"/>
        <v/>
      </c>
      <c r="HA801" s="1854" t="str">
        <f t="shared" si="189"/>
        <v/>
      </c>
      <c r="HB801" s="1854" t="str">
        <f t="shared" si="190"/>
        <v/>
      </c>
      <c r="HC801" s="1854" t="str">
        <f t="shared" si="191"/>
        <v/>
      </c>
      <c r="HD801" s="1854" t="str">
        <f t="shared" si="192"/>
        <v/>
      </c>
      <c r="HE801" s="1854" t="str">
        <f t="shared" si="193"/>
        <v/>
      </c>
      <c r="HF801" s="1854" t="str">
        <f t="shared" si="194"/>
        <v/>
      </c>
      <c r="HG801" s="1854" t="str">
        <f t="shared" si="195"/>
        <v/>
      </c>
      <c r="HH801" s="1854" t="str">
        <f t="shared" si="196"/>
        <v/>
      </c>
      <c r="HI801" s="1854" t="str">
        <f t="shared" si="197"/>
        <v/>
      </c>
      <c r="HJ801" s="1854" t="str">
        <f t="shared" si="198"/>
        <v/>
      </c>
      <c r="HK801" s="1854" t="str">
        <f t="shared" si="199"/>
        <v/>
      </c>
      <c r="HL801" s="1854" t="str">
        <f t="shared" si="200"/>
        <v/>
      </c>
      <c r="HM801" s="1854" t="str">
        <f t="shared" si="201"/>
        <v/>
      </c>
      <c r="HN801" s="1854" t="str">
        <f t="shared" si="202"/>
        <v/>
      </c>
      <c r="HO801" s="1854" t="str">
        <f t="shared" si="203"/>
        <v/>
      </c>
      <c r="HP801" s="1854" t="str">
        <f t="shared" si="204"/>
        <v/>
      </c>
      <c r="HQ801" s="1854" t="str">
        <f t="shared" si="205"/>
        <v/>
      </c>
      <c r="HR801" s="1854" t="str">
        <f t="shared" si="206"/>
        <v/>
      </c>
      <c r="HS801" s="1854" t="str">
        <f t="shared" si="207"/>
        <v/>
      </c>
      <c r="HT801" s="1854" t="str">
        <f t="shared" si="208"/>
        <v/>
      </c>
      <c r="HU801" s="1854" t="str">
        <f t="shared" si="209"/>
        <v/>
      </c>
      <c r="HV801" s="1854" t="str">
        <f t="shared" si="210"/>
        <v/>
      </c>
      <c r="HW801" s="1854" t="str">
        <f t="shared" si="211"/>
        <v/>
      </c>
      <c r="HX801" s="1854" t="str">
        <f t="shared" si="212"/>
        <v/>
      </c>
      <c r="HY801" s="1854" t="str">
        <f t="shared" si="213"/>
        <v/>
      </c>
      <c r="HZ801" s="1854" t="str">
        <f t="shared" si="214"/>
        <v/>
      </c>
      <c r="IA801" s="1854" t="str">
        <f t="shared" si="215"/>
        <v/>
      </c>
      <c r="IB801" s="1854" t="str">
        <f t="shared" si="216"/>
        <v/>
      </c>
      <c r="IC801" s="1854" t="str">
        <f t="shared" si="217"/>
        <v/>
      </c>
      <c r="ID801" s="1826" t="str">
        <f t="shared" si="218"/>
        <v/>
      </c>
      <c r="IE801" s="1826" t="str">
        <f t="shared" si="219"/>
        <v/>
      </c>
      <c r="IF801" s="1826" t="str">
        <f t="shared" si="220"/>
        <v/>
      </c>
      <c r="IG801" s="1826" t="str">
        <f t="shared" si="221"/>
        <v/>
      </c>
      <c r="IH801" s="1826"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1824">
        <f t="shared" si="243"/>
        <v>0</v>
      </c>
      <c r="JD801" s="1824">
        <f t="shared" si="244"/>
        <v>0</v>
      </c>
      <c r="JE801" s="1824">
        <f t="shared" si="245"/>
        <v>0</v>
      </c>
      <c r="JF801" s="1824">
        <f t="shared" si="246"/>
        <v>0</v>
      </c>
      <c r="JG801" s="1824">
        <f t="shared" si="247"/>
        <v>0</v>
      </c>
      <c r="JH801" s="1824">
        <f t="shared" si="248"/>
        <v>0</v>
      </c>
      <c r="JI801" s="1824">
        <f t="shared" si="249"/>
        <v>0</v>
      </c>
      <c r="JJ801" s="1824">
        <f t="shared" si="250"/>
        <v>0</v>
      </c>
      <c r="JK801" s="1824">
        <f t="shared" si="251"/>
        <v>0</v>
      </c>
      <c r="JL801" s="1824">
        <f t="shared" si="252"/>
        <v>0</v>
      </c>
      <c r="JM801" s="1824">
        <f t="shared" si="253"/>
        <v>0</v>
      </c>
      <c r="JN801" s="1824">
        <f t="shared" si="254"/>
        <v>0</v>
      </c>
      <c r="JO801" s="1824">
        <f t="shared" si="255"/>
        <v>0</v>
      </c>
      <c r="JP801" s="1824">
        <f t="shared" si="256"/>
        <v>0</v>
      </c>
      <c r="JQ801" s="1824">
        <f t="shared" si="257"/>
        <v>0</v>
      </c>
    </row>
    <row r="802" spans="1:278" ht="12" customHeight="1">
      <c r="A802" s="1837" t="str">
        <f t="shared" si="0"/>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1"/>
        <v>0</v>
      </c>
      <c r="L802" s="1851">
        <f t="shared" si="2"/>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1854" t="str">
        <f t="shared" si="133"/>
        <v/>
      </c>
      <c r="EX802" s="1854" t="str">
        <f t="shared" si="134"/>
        <v/>
      </c>
      <c r="EY802" s="1854" t="str">
        <f t="shared" si="135"/>
        <v/>
      </c>
      <c r="EZ802" s="1854" t="str">
        <f t="shared" si="136"/>
        <v/>
      </c>
      <c r="FA802" s="1854" t="str">
        <f t="shared" si="137"/>
        <v/>
      </c>
      <c r="FB802" s="1854" t="str">
        <f t="shared" si="138"/>
        <v/>
      </c>
      <c r="FC802" s="1854" t="str">
        <f t="shared" si="139"/>
        <v/>
      </c>
      <c r="FD802" s="1854" t="str">
        <f t="shared" si="140"/>
        <v/>
      </c>
      <c r="FE802" s="1854" t="str">
        <f t="shared" si="141"/>
        <v/>
      </c>
      <c r="FF802" s="1854" t="str">
        <f t="shared" si="142"/>
        <v/>
      </c>
      <c r="FG802" s="1854" t="str">
        <f t="shared" si="143"/>
        <v/>
      </c>
      <c r="FH802" s="1854" t="str">
        <f t="shared" si="144"/>
        <v/>
      </c>
      <c r="FI802" s="1854" t="str">
        <f t="shared" si="145"/>
        <v/>
      </c>
      <c r="FJ802" s="1854" t="str">
        <f t="shared" si="146"/>
        <v/>
      </c>
      <c r="FK802" s="1854" t="str">
        <f t="shared" si="147"/>
        <v/>
      </c>
      <c r="FL802" s="1854" t="str">
        <f t="shared" si="148"/>
        <v/>
      </c>
      <c r="FM802" s="1854" t="str">
        <f t="shared" si="149"/>
        <v/>
      </c>
      <c r="FN802" s="1854" t="str">
        <f t="shared" si="150"/>
        <v/>
      </c>
      <c r="FO802" s="1854" t="str">
        <f t="shared" si="151"/>
        <v/>
      </c>
      <c r="FP802" s="1854" t="str">
        <f t="shared" si="152"/>
        <v/>
      </c>
      <c r="FQ802" s="1854" t="str">
        <f t="shared" si="153"/>
        <v/>
      </c>
      <c r="FR802" s="1854" t="str">
        <f t="shared" si="154"/>
        <v/>
      </c>
      <c r="FS802" s="1854" t="str">
        <f t="shared" si="155"/>
        <v/>
      </c>
      <c r="FT802" s="1854" t="str">
        <f t="shared" si="156"/>
        <v/>
      </c>
      <c r="FU802" s="1854" t="str">
        <f t="shared" si="157"/>
        <v/>
      </c>
      <c r="FV802" s="1854" t="str">
        <f t="shared" si="158"/>
        <v/>
      </c>
      <c r="FW802" s="1854" t="str">
        <f t="shared" si="159"/>
        <v/>
      </c>
      <c r="FX802" s="1854" t="str">
        <f t="shared" si="160"/>
        <v/>
      </c>
      <c r="FY802" s="1854" t="str">
        <f t="shared" si="161"/>
        <v/>
      </c>
      <c r="FZ802" s="1854" t="str">
        <f t="shared" si="162"/>
        <v/>
      </c>
      <c r="GA802" s="1854" t="str">
        <f t="shared" si="163"/>
        <v/>
      </c>
      <c r="GB802" s="1854" t="str">
        <f t="shared" si="164"/>
        <v/>
      </c>
      <c r="GC802" s="1854" t="str">
        <f t="shared" si="165"/>
        <v/>
      </c>
      <c r="GD802" s="1854" t="str">
        <f t="shared" si="166"/>
        <v/>
      </c>
      <c r="GE802" s="1854" t="str">
        <f t="shared" si="167"/>
        <v/>
      </c>
      <c r="GF802" s="1854" t="str">
        <f t="shared" si="168"/>
        <v/>
      </c>
      <c r="GG802" s="1854" t="str">
        <f t="shared" si="169"/>
        <v/>
      </c>
      <c r="GH802" s="1854" t="str">
        <f t="shared" si="170"/>
        <v/>
      </c>
      <c r="GI802" s="1854" t="str">
        <f t="shared" si="171"/>
        <v/>
      </c>
      <c r="GJ802" s="1854" t="str">
        <f t="shared" si="172"/>
        <v/>
      </c>
      <c r="GK802" s="1854" t="str">
        <f t="shared" si="173"/>
        <v/>
      </c>
      <c r="GL802" s="1854" t="str">
        <f t="shared" si="174"/>
        <v/>
      </c>
      <c r="GM802" s="1854" t="str">
        <f t="shared" si="175"/>
        <v/>
      </c>
      <c r="GN802" s="1854" t="str">
        <f t="shared" si="176"/>
        <v/>
      </c>
      <c r="GO802" s="1854" t="str">
        <f t="shared" si="177"/>
        <v/>
      </c>
      <c r="GP802" s="1854" t="str">
        <f t="shared" si="178"/>
        <v/>
      </c>
      <c r="GQ802" s="1854" t="str">
        <f t="shared" si="179"/>
        <v/>
      </c>
      <c r="GR802" s="1854" t="str">
        <f t="shared" si="180"/>
        <v/>
      </c>
      <c r="GS802" s="1854" t="str">
        <f t="shared" si="181"/>
        <v/>
      </c>
      <c r="GT802" s="1854" t="str">
        <f t="shared" si="182"/>
        <v/>
      </c>
      <c r="GU802" s="1854" t="str">
        <f t="shared" si="183"/>
        <v/>
      </c>
      <c r="GV802" s="1854" t="str">
        <f t="shared" si="184"/>
        <v/>
      </c>
      <c r="GW802" s="1854" t="str">
        <f t="shared" si="185"/>
        <v/>
      </c>
      <c r="GX802" s="1854" t="str">
        <f t="shared" si="186"/>
        <v/>
      </c>
      <c r="GY802" s="1854" t="str">
        <f t="shared" si="187"/>
        <v/>
      </c>
      <c r="GZ802" s="1854" t="str">
        <f t="shared" si="188"/>
        <v/>
      </c>
      <c r="HA802" s="1854" t="str">
        <f t="shared" si="189"/>
        <v/>
      </c>
      <c r="HB802" s="1854" t="str">
        <f t="shared" si="190"/>
        <v/>
      </c>
      <c r="HC802" s="1854" t="str">
        <f t="shared" si="191"/>
        <v/>
      </c>
      <c r="HD802" s="1854" t="str">
        <f t="shared" si="192"/>
        <v/>
      </c>
      <c r="HE802" s="1854" t="str">
        <f t="shared" si="193"/>
        <v/>
      </c>
      <c r="HF802" s="1854" t="str">
        <f t="shared" si="194"/>
        <v/>
      </c>
      <c r="HG802" s="1854" t="str">
        <f t="shared" si="195"/>
        <v/>
      </c>
      <c r="HH802" s="1854" t="str">
        <f t="shared" si="196"/>
        <v/>
      </c>
      <c r="HI802" s="1854" t="str">
        <f t="shared" si="197"/>
        <v/>
      </c>
      <c r="HJ802" s="1854" t="str">
        <f t="shared" si="198"/>
        <v/>
      </c>
      <c r="HK802" s="1854" t="str">
        <f t="shared" si="199"/>
        <v/>
      </c>
      <c r="HL802" s="1854" t="str">
        <f t="shared" si="200"/>
        <v/>
      </c>
      <c r="HM802" s="1854" t="str">
        <f t="shared" si="201"/>
        <v/>
      </c>
      <c r="HN802" s="1854" t="str">
        <f t="shared" si="202"/>
        <v/>
      </c>
      <c r="HO802" s="1854" t="str">
        <f t="shared" si="203"/>
        <v/>
      </c>
      <c r="HP802" s="1854" t="str">
        <f t="shared" si="204"/>
        <v/>
      </c>
      <c r="HQ802" s="1854" t="str">
        <f t="shared" si="205"/>
        <v/>
      </c>
      <c r="HR802" s="1854" t="str">
        <f t="shared" si="206"/>
        <v/>
      </c>
      <c r="HS802" s="1854" t="str">
        <f t="shared" si="207"/>
        <v/>
      </c>
      <c r="HT802" s="1854" t="str">
        <f t="shared" si="208"/>
        <v/>
      </c>
      <c r="HU802" s="1854" t="str">
        <f t="shared" si="209"/>
        <v/>
      </c>
      <c r="HV802" s="1854" t="str">
        <f t="shared" si="210"/>
        <v/>
      </c>
      <c r="HW802" s="1854" t="str">
        <f t="shared" si="211"/>
        <v/>
      </c>
      <c r="HX802" s="1854" t="str">
        <f t="shared" si="212"/>
        <v/>
      </c>
      <c r="HY802" s="1854" t="str">
        <f t="shared" si="213"/>
        <v/>
      </c>
      <c r="HZ802" s="1854" t="str">
        <f t="shared" si="214"/>
        <v/>
      </c>
      <c r="IA802" s="1854" t="str">
        <f t="shared" si="215"/>
        <v/>
      </c>
      <c r="IB802" s="1854" t="str">
        <f t="shared" si="216"/>
        <v/>
      </c>
      <c r="IC802" s="1854" t="str">
        <f t="shared" si="217"/>
        <v/>
      </c>
      <c r="ID802" s="1826" t="str">
        <f t="shared" si="218"/>
        <v/>
      </c>
      <c r="IE802" s="1826" t="str">
        <f t="shared" si="219"/>
        <v/>
      </c>
      <c r="IF802" s="1826" t="str">
        <f t="shared" si="220"/>
        <v/>
      </c>
      <c r="IG802" s="1826" t="str">
        <f t="shared" si="221"/>
        <v/>
      </c>
      <c r="IH802" s="1826"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1824">
        <f t="shared" si="243"/>
        <v>0</v>
      </c>
      <c r="JD802" s="1824">
        <f t="shared" si="244"/>
        <v>0</v>
      </c>
      <c r="JE802" s="1824">
        <f t="shared" si="245"/>
        <v>0</v>
      </c>
      <c r="JF802" s="1824">
        <f t="shared" si="246"/>
        <v>0</v>
      </c>
      <c r="JG802" s="1824">
        <f t="shared" si="247"/>
        <v>0</v>
      </c>
      <c r="JH802" s="1824">
        <f t="shared" si="248"/>
        <v>0</v>
      </c>
      <c r="JI802" s="1824">
        <f t="shared" si="249"/>
        <v>0</v>
      </c>
      <c r="JJ802" s="1824">
        <f t="shared" si="250"/>
        <v>0</v>
      </c>
      <c r="JK802" s="1824">
        <f t="shared" si="251"/>
        <v>0</v>
      </c>
      <c r="JL802" s="1824">
        <f t="shared" si="252"/>
        <v>0</v>
      </c>
      <c r="JM802" s="1824">
        <f t="shared" si="253"/>
        <v>0</v>
      </c>
      <c r="JN802" s="1824">
        <f t="shared" si="254"/>
        <v>0</v>
      </c>
      <c r="JO802" s="1824">
        <f t="shared" si="255"/>
        <v>0</v>
      </c>
      <c r="JP802" s="1824">
        <f t="shared" si="256"/>
        <v>0</v>
      </c>
      <c r="JQ802" s="1824">
        <f t="shared" si="257"/>
        <v>0</v>
      </c>
    </row>
    <row r="803" spans="1:278" ht="12" customHeight="1">
      <c r="A803" s="1837" t="str">
        <f t="shared" si="0"/>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1"/>
        <v>0</v>
      </c>
      <c r="L803" s="1851">
        <f t="shared" si="2"/>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1854" t="str">
        <f t="shared" si="133"/>
        <v/>
      </c>
      <c r="EX803" s="1854" t="str">
        <f t="shared" si="134"/>
        <v/>
      </c>
      <c r="EY803" s="1854" t="str">
        <f t="shared" si="135"/>
        <v/>
      </c>
      <c r="EZ803" s="1854" t="str">
        <f t="shared" si="136"/>
        <v/>
      </c>
      <c r="FA803" s="1854" t="str">
        <f t="shared" si="137"/>
        <v/>
      </c>
      <c r="FB803" s="1854" t="str">
        <f t="shared" si="138"/>
        <v/>
      </c>
      <c r="FC803" s="1854" t="str">
        <f t="shared" si="139"/>
        <v/>
      </c>
      <c r="FD803" s="1854" t="str">
        <f t="shared" si="140"/>
        <v/>
      </c>
      <c r="FE803" s="1854" t="str">
        <f t="shared" si="141"/>
        <v/>
      </c>
      <c r="FF803" s="1854" t="str">
        <f t="shared" si="142"/>
        <v/>
      </c>
      <c r="FG803" s="1854" t="str">
        <f t="shared" si="143"/>
        <v/>
      </c>
      <c r="FH803" s="1854" t="str">
        <f t="shared" si="144"/>
        <v/>
      </c>
      <c r="FI803" s="1854" t="str">
        <f t="shared" si="145"/>
        <v/>
      </c>
      <c r="FJ803" s="1854" t="str">
        <f t="shared" si="146"/>
        <v/>
      </c>
      <c r="FK803" s="1854" t="str">
        <f t="shared" si="147"/>
        <v/>
      </c>
      <c r="FL803" s="1854" t="str">
        <f t="shared" si="148"/>
        <v/>
      </c>
      <c r="FM803" s="1854" t="str">
        <f t="shared" si="149"/>
        <v/>
      </c>
      <c r="FN803" s="1854" t="str">
        <f t="shared" si="150"/>
        <v/>
      </c>
      <c r="FO803" s="1854" t="str">
        <f t="shared" si="151"/>
        <v/>
      </c>
      <c r="FP803" s="1854" t="str">
        <f t="shared" si="152"/>
        <v/>
      </c>
      <c r="FQ803" s="1854" t="str">
        <f t="shared" si="153"/>
        <v/>
      </c>
      <c r="FR803" s="1854" t="str">
        <f t="shared" si="154"/>
        <v/>
      </c>
      <c r="FS803" s="1854" t="str">
        <f t="shared" si="155"/>
        <v/>
      </c>
      <c r="FT803" s="1854" t="str">
        <f t="shared" si="156"/>
        <v/>
      </c>
      <c r="FU803" s="1854" t="str">
        <f t="shared" si="157"/>
        <v/>
      </c>
      <c r="FV803" s="1854" t="str">
        <f t="shared" si="158"/>
        <v/>
      </c>
      <c r="FW803" s="1854" t="str">
        <f t="shared" si="159"/>
        <v/>
      </c>
      <c r="FX803" s="1854" t="str">
        <f t="shared" si="160"/>
        <v/>
      </c>
      <c r="FY803" s="1854" t="str">
        <f t="shared" si="161"/>
        <v/>
      </c>
      <c r="FZ803" s="1854" t="str">
        <f t="shared" si="162"/>
        <v/>
      </c>
      <c r="GA803" s="1854" t="str">
        <f t="shared" si="163"/>
        <v/>
      </c>
      <c r="GB803" s="1854" t="str">
        <f t="shared" si="164"/>
        <v/>
      </c>
      <c r="GC803" s="1854" t="str">
        <f t="shared" si="165"/>
        <v/>
      </c>
      <c r="GD803" s="1854" t="str">
        <f t="shared" si="166"/>
        <v/>
      </c>
      <c r="GE803" s="1854" t="str">
        <f t="shared" si="167"/>
        <v/>
      </c>
      <c r="GF803" s="1854" t="str">
        <f t="shared" si="168"/>
        <v/>
      </c>
      <c r="GG803" s="1854" t="str">
        <f t="shared" si="169"/>
        <v/>
      </c>
      <c r="GH803" s="1854" t="str">
        <f t="shared" si="170"/>
        <v/>
      </c>
      <c r="GI803" s="1854" t="str">
        <f t="shared" si="171"/>
        <v/>
      </c>
      <c r="GJ803" s="1854" t="str">
        <f t="shared" si="172"/>
        <v/>
      </c>
      <c r="GK803" s="1854" t="str">
        <f t="shared" si="173"/>
        <v/>
      </c>
      <c r="GL803" s="1854" t="str">
        <f t="shared" si="174"/>
        <v/>
      </c>
      <c r="GM803" s="1854" t="str">
        <f t="shared" si="175"/>
        <v/>
      </c>
      <c r="GN803" s="1854" t="str">
        <f t="shared" si="176"/>
        <v/>
      </c>
      <c r="GO803" s="1854" t="str">
        <f t="shared" si="177"/>
        <v/>
      </c>
      <c r="GP803" s="1854" t="str">
        <f t="shared" si="178"/>
        <v/>
      </c>
      <c r="GQ803" s="1854" t="str">
        <f t="shared" si="179"/>
        <v/>
      </c>
      <c r="GR803" s="1854" t="str">
        <f t="shared" si="180"/>
        <v/>
      </c>
      <c r="GS803" s="1854" t="str">
        <f t="shared" si="181"/>
        <v/>
      </c>
      <c r="GT803" s="1854" t="str">
        <f t="shared" si="182"/>
        <v/>
      </c>
      <c r="GU803" s="1854" t="str">
        <f t="shared" si="183"/>
        <v/>
      </c>
      <c r="GV803" s="1854" t="str">
        <f t="shared" si="184"/>
        <v/>
      </c>
      <c r="GW803" s="1854" t="str">
        <f t="shared" si="185"/>
        <v/>
      </c>
      <c r="GX803" s="1854" t="str">
        <f t="shared" si="186"/>
        <v/>
      </c>
      <c r="GY803" s="1854" t="str">
        <f t="shared" si="187"/>
        <v/>
      </c>
      <c r="GZ803" s="1854" t="str">
        <f t="shared" si="188"/>
        <v/>
      </c>
      <c r="HA803" s="1854" t="str">
        <f t="shared" si="189"/>
        <v/>
      </c>
      <c r="HB803" s="1854" t="str">
        <f t="shared" si="190"/>
        <v/>
      </c>
      <c r="HC803" s="1854" t="str">
        <f t="shared" si="191"/>
        <v/>
      </c>
      <c r="HD803" s="1854" t="str">
        <f t="shared" si="192"/>
        <v/>
      </c>
      <c r="HE803" s="1854" t="str">
        <f t="shared" si="193"/>
        <v/>
      </c>
      <c r="HF803" s="1854" t="str">
        <f t="shared" si="194"/>
        <v/>
      </c>
      <c r="HG803" s="1854" t="str">
        <f t="shared" si="195"/>
        <v/>
      </c>
      <c r="HH803" s="1854" t="str">
        <f t="shared" si="196"/>
        <v/>
      </c>
      <c r="HI803" s="1854" t="str">
        <f t="shared" si="197"/>
        <v/>
      </c>
      <c r="HJ803" s="1854" t="str">
        <f t="shared" si="198"/>
        <v/>
      </c>
      <c r="HK803" s="1854" t="str">
        <f t="shared" si="199"/>
        <v/>
      </c>
      <c r="HL803" s="1854" t="str">
        <f t="shared" si="200"/>
        <v/>
      </c>
      <c r="HM803" s="1854" t="str">
        <f t="shared" si="201"/>
        <v/>
      </c>
      <c r="HN803" s="1854" t="str">
        <f t="shared" si="202"/>
        <v/>
      </c>
      <c r="HO803" s="1854" t="str">
        <f t="shared" si="203"/>
        <v/>
      </c>
      <c r="HP803" s="1854" t="str">
        <f t="shared" si="204"/>
        <v/>
      </c>
      <c r="HQ803" s="1854" t="str">
        <f t="shared" si="205"/>
        <v/>
      </c>
      <c r="HR803" s="1854" t="str">
        <f t="shared" si="206"/>
        <v/>
      </c>
      <c r="HS803" s="1854" t="str">
        <f t="shared" si="207"/>
        <v/>
      </c>
      <c r="HT803" s="1854" t="str">
        <f t="shared" si="208"/>
        <v/>
      </c>
      <c r="HU803" s="1854" t="str">
        <f t="shared" si="209"/>
        <v/>
      </c>
      <c r="HV803" s="1854" t="str">
        <f t="shared" si="210"/>
        <v/>
      </c>
      <c r="HW803" s="1854" t="str">
        <f t="shared" si="211"/>
        <v/>
      </c>
      <c r="HX803" s="1854" t="str">
        <f t="shared" si="212"/>
        <v/>
      </c>
      <c r="HY803" s="1854" t="str">
        <f t="shared" si="213"/>
        <v/>
      </c>
      <c r="HZ803" s="1854" t="str">
        <f t="shared" si="214"/>
        <v/>
      </c>
      <c r="IA803" s="1854" t="str">
        <f t="shared" si="215"/>
        <v/>
      </c>
      <c r="IB803" s="1854" t="str">
        <f t="shared" si="216"/>
        <v/>
      </c>
      <c r="IC803" s="1854" t="str">
        <f t="shared" si="217"/>
        <v/>
      </c>
      <c r="ID803" s="1826" t="str">
        <f t="shared" si="218"/>
        <v/>
      </c>
      <c r="IE803" s="1826" t="str">
        <f t="shared" si="219"/>
        <v/>
      </c>
      <c r="IF803" s="1826" t="str">
        <f t="shared" si="220"/>
        <v/>
      </c>
      <c r="IG803" s="1826" t="str">
        <f t="shared" si="221"/>
        <v/>
      </c>
      <c r="IH803" s="1826"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1824">
        <f t="shared" si="243"/>
        <v>0</v>
      </c>
      <c r="JD803" s="1824">
        <f t="shared" si="244"/>
        <v>0</v>
      </c>
      <c r="JE803" s="1824">
        <f t="shared" si="245"/>
        <v>0</v>
      </c>
      <c r="JF803" s="1824">
        <f t="shared" si="246"/>
        <v>0</v>
      </c>
      <c r="JG803" s="1824">
        <f t="shared" si="247"/>
        <v>0</v>
      </c>
      <c r="JH803" s="1824">
        <f t="shared" si="248"/>
        <v>0</v>
      </c>
      <c r="JI803" s="1824">
        <f t="shared" si="249"/>
        <v>0</v>
      </c>
      <c r="JJ803" s="1824">
        <f t="shared" si="250"/>
        <v>0</v>
      </c>
      <c r="JK803" s="1824">
        <f t="shared" si="251"/>
        <v>0</v>
      </c>
      <c r="JL803" s="1824">
        <f t="shared" si="252"/>
        <v>0</v>
      </c>
      <c r="JM803" s="1824">
        <f t="shared" si="253"/>
        <v>0</v>
      </c>
      <c r="JN803" s="1824">
        <f t="shared" si="254"/>
        <v>0</v>
      </c>
      <c r="JO803" s="1824">
        <f t="shared" si="255"/>
        <v>0</v>
      </c>
      <c r="JP803" s="1824">
        <f t="shared" si="256"/>
        <v>0</v>
      </c>
      <c r="JQ803" s="1824">
        <f t="shared" si="257"/>
        <v>0</v>
      </c>
    </row>
    <row r="804" spans="1:278" ht="12" customHeight="1">
      <c r="A804" s="1837" t="str">
        <f t="shared" si="0"/>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1"/>
        <v>0</v>
      </c>
      <c r="L804" s="1851">
        <f t="shared" si="2"/>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1854" t="str">
        <f t="shared" si="133"/>
        <v/>
      </c>
      <c r="EX804" s="1854" t="str">
        <f t="shared" si="134"/>
        <v/>
      </c>
      <c r="EY804" s="1854" t="str">
        <f t="shared" si="135"/>
        <v/>
      </c>
      <c r="EZ804" s="1854" t="str">
        <f t="shared" si="136"/>
        <v/>
      </c>
      <c r="FA804" s="1854" t="str">
        <f t="shared" si="137"/>
        <v/>
      </c>
      <c r="FB804" s="1854" t="str">
        <f t="shared" si="138"/>
        <v/>
      </c>
      <c r="FC804" s="1854" t="str">
        <f t="shared" si="139"/>
        <v/>
      </c>
      <c r="FD804" s="1854" t="str">
        <f t="shared" si="140"/>
        <v/>
      </c>
      <c r="FE804" s="1854" t="str">
        <f t="shared" si="141"/>
        <v/>
      </c>
      <c r="FF804" s="1854" t="str">
        <f t="shared" si="142"/>
        <v/>
      </c>
      <c r="FG804" s="1854" t="str">
        <f t="shared" si="143"/>
        <v/>
      </c>
      <c r="FH804" s="1854" t="str">
        <f t="shared" si="144"/>
        <v/>
      </c>
      <c r="FI804" s="1854" t="str">
        <f t="shared" si="145"/>
        <v/>
      </c>
      <c r="FJ804" s="1854" t="str">
        <f t="shared" si="146"/>
        <v/>
      </c>
      <c r="FK804" s="1854" t="str">
        <f t="shared" si="147"/>
        <v/>
      </c>
      <c r="FL804" s="1854" t="str">
        <f t="shared" si="148"/>
        <v/>
      </c>
      <c r="FM804" s="1854" t="str">
        <f t="shared" si="149"/>
        <v/>
      </c>
      <c r="FN804" s="1854" t="str">
        <f t="shared" si="150"/>
        <v/>
      </c>
      <c r="FO804" s="1854" t="str">
        <f t="shared" si="151"/>
        <v/>
      </c>
      <c r="FP804" s="1854" t="str">
        <f t="shared" si="152"/>
        <v/>
      </c>
      <c r="FQ804" s="1854" t="str">
        <f t="shared" si="153"/>
        <v/>
      </c>
      <c r="FR804" s="1854" t="str">
        <f t="shared" si="154"/>
        <v/>
      </c>
      <c r="FS804" s="1854" t="str">
        <f t="shared" si="155"/>
        <v/>
      </c>
      <c r="FT804" s="1854" t="str">
        <f t="shared" si="156"/>
        <v/>
      </c>
      <c r="FU804" s="1854" t="str">
        <f t="shared" si="157"/>
        <v/>
      </c>
      <c r="FV804" s="1854" t="str">
        <f t="shared" si="158"/>
        <v/>
      </c>
      <c r="FW804" s="1854" t="str">
        <f t="shared" si="159"/>
        <v/>
      </c>
      <c r="FX804" s="1854" t="str">
        <f t="shared" si="160"/>
        <v/>
      </c>
      <c r="FY804" s="1854" t="str">
        <f t="shared" si="161"/>
        <v/>
      </c>
      <c r="FZ804" s="1854" t="str">
        <f t="shared" si="162"/>
        <v/>
      </c>
      <c r="GA804" s="1854" t="str">
        <f t="shared" si="163"/>
        <v/>
      </c>
      <c r="GB804" s="1854" t="str">
        <f t="shared" si="164"/>
        <v/>
      </c>
      <c r="GC804" s="1854" t="str">
        <f t="shared" si="165"/>
        <v/>
      </c>
      <c r="GD804" s="1854" t="str">
        <f t="shared" si="166"/>
        <v/>
      </c>
      <c r="GE804" s="1854" t="str">
        <f t="shared" si="167"/>
        <v/>
      </c>
      <c r="GF804" s="1854" t="str">
        <f t="shared" si="168"/>
        <v/>
      </c>
      <c r="GG804" s="1854" t="str">
        <f t="shared" si="169"/>
        <v/>
      </c>
      <c r="GH804" s="1854" t="str">
        <f t="shared" si="170"/>
        <v/>
      </c>
      <c r="GI804" s="1854" t="str">
        <f t="shared" si="171"/>
        <v/>
      </c>
      <c r="GJ804" s="1854" t="str">
        <f t="shared" si="172"/>
        <v/>
      </c>
      <c r="GK804" s="1854" t="str">
        <f t="shared" si="173"/>
        <v/>
      </c>
      <c r="GL804" s="1854" t="str">
        <f t="shared" si="174"/>
        <v/>
      </c>
      <c r="GM804" s="1854" t="str">
        <f t="shared" si="175"/>
        <v/>
      </c>
      <c r="GN804" s="1854" t="str">
        <f t="shared" si="176"/>
        <v/>
      </c>
      <c r="GO804" s="1854" t="str">
        <f t="shared" si="177"/>
        <v/>
      </c>
      <c r="GP804" s="1854" t="str">
        <f t="shared" si="178"/>
        <v/>
      </c>
      <c r="GQ804" s="1854" t="str">
        <f t="shared" si="179"/>
        <v/>
      </c>
      <c r="GR804" s="1854" t="str">
        <f t="shared" si="180"/>
        <v/>
      </c>
      <c r="GS804" s="1854" t="str">
        <f t="shared" si="181"/>
        <v/>
      </c>
      <c r="GT804" s="1854" t="str">
        <f t="shared" si="182"/>
        <v/>
      </c>
      <c r="GU804" s="1854" t="str">
        <f t="shared" si="183"/>
        <v/>
      </c>
      <c r="GV804" s="1854" t="str">
        <f t="shared" si="184"/>
        <v/>
      </c>
      <c r="GW804" s="1854" t="str">
        <f t="shared" si="185"/>
        <v/>
      </c>
      <c r="GX804" s="1854" t="str">
        <f t="shared" si="186"/>
        <v/>
      </c>
      <c r="GY804" s="1854" t="str">
        <f t="shared" si="187"/>
        <v/>
      </c>
      <c r="GZ804" s="1854" t="str">
        <f t="shared" si="188"/>
        <v/>
      </c>
      <c r="HA804" s="1854" t="str">
        <f t="shared" si="189"/>
        <v/>
      </c>
      <c r="HB804" s="1854" t="str">
        <f t="shared" si="190"/>
        <v/>
      </c>
      <c r="HC804" s="1854" t="str">
        <f t="shared" si="191"/>
        <v/>
      </c>
      <c r="HD804" s="1854" t="str">
        <f t="shared" si="192"/>
        <v/>
      </c>
      <c r="HE804" s="1854" t="str">
        <f t="shared" si="193"/>
        <v/>
      </c>
      <c r="HF804" s="1854" t="str">
        <f t="shared" si="194"/>
        <v/>
      </c>
      <c r="HG804" s="1854" t="str">
        <f t="shared" si="195"/>
        <v/>
      </c>
      <c r="HH804" s="1854" t="str">
        <f t="shared" si="196"/>
        <v/>
      </c>
      <c r="HI804" s="1854" t="str">
        <f t="shared" si="197"/>
        <v/>
      </c>
      <c r="HJ804" s="1854" t="str">
        <f t="shared" si="198"/>
        <v/>
      </c>
      <c r="HK804" s="1854" t="str">
        <f t="shared" si="199"/>
        <v/>
      </c>
      <c r="HL804" s="1854" t="str">
        <f t="shared" si="200"/>
        <v/>
      </c>
      <c r="HM804" s="1854" t="str">
        <f t="shared" si="201"/>
        <v/>
      </c>
      <c r="HN804" s="1854" t="str">
        <f t="shared" si="202"/>
        <v/>
      </c>
      <c r="HO804" s="1854" t="str">
        <f t="shared" si="203"/>
        <v/>
      </c>
      <c r="HP804" s="1854" t="str">
        <f t="shared" si="204"/>
        <v/>
      </c>
      <c r="HQ804" s="1854" t="str">
        <f t="shared" si="205"/>
        <v/>
      </c>
      <c r="HR804" s="1854" t="str">
        <f t="shared" si="206"/>
        <v/>
      </c>
      <c r="HS804" s="1854" t="str">
        <f t="shared" si="207"/>
        <v/>
      </c>
      <c r="HT804" s="1854" t="str">
        <f t="shared" si="208"/>
        <v/>
      </c>
      <c r="HU804" s="1854" t="str">
        <f t="shared" si="209"/>
        <v/>
      </c>
      <c r="HV804" s="1854" t="str">
        <f t="shared" si="210"/>
        <v/>
      </c>
      <c r="HW804" s="1854" t="str">
        <f t="shared" si="211"/>
        <v/>
      </c>
      <c r="HX804" s="1854" t="str">
        <f t="shared" si="212"/>
        <v/>
      </c>
      <c r="HY804" s="1854" t="str">
        <f t="shared" si="213"/>
        <v/>
      </c>
      <c r="HZ804" s="1854" t="str">
        <f t="shared" si="214"/>
        <v/>
      </c>
      <c r="IA804" s="1854" t="str">
        <f t="shared" si="215"/>
        <v/>
      </c>
      <c r="IB804" s="1854" t="str">
        <f t="shared" si="216"/>
        <v/>
      </c>
      <c r="IC804" s="1854" t="str">
        <f t="shared" si="217"/>
        <v/>
      </c>
      <c r="ID804" s="1826" t="str">
        <f t="shared" si="218"/>
        <v/>
      </c>
      <c r="IE804" s="1826" t="str">
        <f t="shared" si="219"/>
        <v/>
      </c>
      <c r="IF804" s="1826" t="str">
        <f t="shared" si="220"/>
        <v/>
      </c>
      <c r="IG804" s="1826" t="str">
        <f t="shared" si="221"/>
        <v/>
      </c>
      <c r="IH804" s="1826"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1824">
        <f t="shared" si="243"/>
        <v>0</v>
      </c>
      <c r="JD804" s="1824">
        <f t="shared" si="244"/>
        <v>0</v>
      </c>
      <c r="JE804" s="1824">
        <f t="shared" si="245"/>
        <v>0</v>
      </c>
      <c r="JF804" s="1824">
        <f t="shared" si="246"/>
        <v>0</v>
      </c>
      <c r="JG804" s="1824">
        <f t="shared" si="247"/>
        <v>0</v>
      </c>
      <c r="JH804" s="1824">
        <f t="shared" si="248"/>
        <v>0</v>
      </c>
      <c r="JI804" s="1824">
        <f t="shared" si="249"/>
        <v>0</v>
      </c>
      <c r="JJ804" s="1824">
        <f t="shared" si="250"/>
        <v>0</v>
      </c>
      <c r="JK804" s="1824">
        <f t="shared" si="251"/>
        <v>0</v>
      </c>
      <c r="JL804" s="1824">
        <f t="shared" si="252"/>
        <v>0</v>
      </c>
      <c r="JM804" s="1824">
        <f t="shared" si="253"/>
        <v>0</v>
      </c>
      <c r="JN804" s="1824">
        <f t="shared" si="254"/>
        <v>0</v>
      </c>
      <c r="JO804" s="1824">
        <f t="shared" si="255"/>
        <v>0</v>
      </c>
      <c r="JP804" s="1824">
        <f t="shared" si="256"/>
        <v>0</v>
      </c>
      <c r="JQ804" s="1824">
        <f t="shared" si="257"/>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123</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73080</v>
      </c>
      <c r="G805" s="479"/>
      <c r="H805" s="479"/>
      <c r="I805" s="479"/>
      <c r="J805" s="479"/>
      <c r="K805" s="1858" t="s">
        <v>1314</v>
      </c>
      <c r="L805" s="1856">
        <f>SUM(L767:L804)</f>
        <v>70980.149999999994</v>
      </c>
      <c r="M805" s="1629"/>
      <c r="N805" s="1629"/>
      <c r="O805" s="1629"/>
      <c r="P805" s="1629"/>
      <c r="Q805" s="1629"/>
      <c r="R805" s="1629"/>
      <c r="S805" s="1629"/>
      <c r="T805" s="1629"/>
      <c r="U805" s="1836"/>
      <c r="V805" s="1859"/>
      <c r="W805" s="1859">
        <f t="shared" ref="W805:CH805" si="258">SUM(W767:W804)</f>
        <v>76</v>
      </c>
      <c r="X805" s="1859">
        <f t="shared" si="258"/>
        <v>22</v>
      </c>
      <c r="Y805" s="1859">
        <f t="shared" si="258"/>
        <v>0</v>
      </c>
      <c r="Z805" s="1859">
        <f t="shared" si="258"/>
        <v>0</v>
      </c>
      <c r="AA805" s="1859">
        <f t="shared" si="258"/>
        <v>0</v>
      </c>
      <c r="AB805" s="1859">
        <f t="shared" si="258"/>
        <v>19</v>
      </c>
      <c r="AC805" s="1859">
        <f t="shared" si="258"/>
        <v>6</v>
      </c>
      <c r="AD805" s="1859">
        <f t="shared" si="258"/>
        <v>0</v>
      </c>
      <c r="AE805" s="1859">
        <f t="shared" si="258"/>
        <v>0</v>
      </c>
      <c r="AF805" s="1859">
        <f t="shared" si="258"/>
        <v>0</v>
      </c>
      <c r="AG805" s="1859">
        <f t="shared" si="258"/>
        <v>0</v>
      </c>
      <c r="AH805" s="1859">
        <f t="shared" si="258"/>
        <v>0</v>
      </c>
      <c r="AI805" s="1859">
        <f t="shared" si="258"/>
        <v>0</v>
      </c>
      <c r="AJ805" s="1859">
        <f t="shared" si="258"/>
        <v>0</v>
      </c>
      <c r="AK805" s="1859">
        <f t="shared" si="258"/>
        <v>0</v>
      </c>
      <c r="AL805" s="1859">
        <f t="shared" si="258"/>
        <v>0</v>
      </c>
      <c r="AM805" s="1859">
        <f t="shared" si="258"/>
        <v>0</v>
      </c>
      <c r="AN805" s="1859">
        <f t="shared" si="258"/>
        <v>0</v>
      </c>
      <c r="AO805" s="1859">
        <f t="shared" si="258"/>
        <v>0</v>
      </c>
      <c r="AP805" s="1859">
        <f t="shared" si="258"/>
        <v>0</v>
      </c>
      <c r="AQ805" s="1859">
        <f t="shared" si="258"/>
        <v>0</v>
      </c>
      <c r="AR805" s="1859">
        <f t="shared" si="258"/>
        <v>0</v>
      </c>
      <c r="AS805" s="1859">
        <f t="shared" si="258"/>
        <v>0</v>
      </c>
      <c r="AT805" s="1859">
        <f t="shared" si="258"/>
        <v>0</v>
      </c>
      <c r="AU805" s="1859">
        <f t="shared" si="258"/>
        <v>0</v>
      </c>
      <c r="AV805" s="1859">
        <f t="shared" si="258"/>
        <v>0</v>
      </c>
      <c r="AW805" s="1859">
        <f t="shared" si="258"/>
        <v>0</v>
      </c>
      <c r="AX805" s="1859">
        <f t="shared" si="258"/>
        <v>0</v>
      </c>
      <c r="AY805" s="1859">
        <f t="shared" si="258"/>
        <v>0</v>
      </c>
      <c r="AZ805" s="1859">
        <f t="shared" si="258"/>
        <v>0</v>
      </c>
      <c r="BA805" s="1859">
        <f t="shared" si="258"/>
        <v>0</v>
      </c>
      <c r="BB805" s="1859">
        <f t="shared" si="258"/>
        <v>0</v>
      </c>
      <c r="BC805" s="1859">
        <f t="shared" si="258"/>
        <v>0</v>
      </c>
      <c r="BD805" s="1859">
        <f t="shared" si="258"/>
        <v>0</v>
      </c>
      <c r="BE805" s="1859">
        <f t="shared" si="258"/>
        <v>0</v>
      </c>
      <c r="BF805" s="1859">
        <f t="shared" si="258"/>
        <v>0</v>
      </c>
      <c r="BG805" s="1859">
        <f t="shared" si="258"/>
        <v>0</v>
      </c>
      <c r="BH805" s="1859">
        <f t="shared" si="258"/>
        <v>0</v>
      </c>
      <c r="BI805" s="1859">
        <f t="shared" si="258"/>
        <v>0</v>
      </c>
      <c r="BJ805" s="1859">
        <f t="shared" si="258"/>
        <v>0</v>
      </c>
      <c r="BK805" s="1859">
        <f t="shared" si="258"/>
        <v>0</v>
      </c>
      <c r="BL805" s="1859">
        <f t="shared" si="258"/>
        <v>0</v>
      </c>
      <c r="BM805" s="1859">
        <f t="shared" si="258"/>
        <v>0</v>
      </c>
      <c r="BN805" s="1859">
        <f t="shared" si="258"/>
        <v>0</v>
      </c>
      <c r="BO805" s="1859">
        <f t="shared" si="258"/>
        <v>0</v>
      </c>
      <c r="BP805" s="1859">
        <f t="shared" si="258"/>
        <v>0</v>
      </c>
      <c r="BQ805" s="1859">
        <f t="shared" si="258"/>
        <v>0</v>
      </c>
      <c r="BR805" s="1859">
        <f t="shared" si="258"/>
        <v>0</v>
      </c>
      <c r="BS805" s="1859">
        <f t="shared" si="258"/>
        <v>0</v>
      </c>
      <c r="BT805" s="1859">
        <f t="shared" si="258"/>
        <v>0</v>
      </c>
      <c r="BU805" s="1859">
        <f t="shared" si="258"/>
        <v>0</v>
      </c>
      <c r="BV805" s="1859">
        <f t="shared" si="258"/>
        <v>0</v>
      </c>
      <c r="BW805" s="1859">
        <f t="shared" si="258"/>
        <v>0</v>
      </c>
      <c r="BX805" s="1859">
        <f t="shared" si="258"/>
        <v>0</v>
      </c>
      <c r="BY805" s="1859">
        <f t="shared" si="258"/>
        <v>0</v>
      </c>
      <c r="BZ805" s="1859">
        <f t="shared" si="258"/>
        <v>40080</v>
      </c>
      <c r="CA805" s="1859">
        <f t="shared" si="258"/>
        <v>18040</v>
      </c>
      <c r="CB805" s="1859">
        <f t="shared" si="258"/>
        <v>0</v>
      </c>
      <c r="CC805" s="1859">
        <f t="shared" si="258"/>
        <v>0</v>
      </c>
      <c r="CD805" s="1859">
        <f t="shared" si="258"/>
        <v>0</v>
      </c>
      <c r="CE805" s="1859">
        <f t="shared" si="258"/>
        <v>10040</v>
      </c>
      <c r="CF805" s="1859">
        <f t="shared" si="258"/>
        <v>4920</v>
      </c>
      <c r="CG805" s="1859">
        <f t="shared" si="258"/>
        <v>0</v>
      </c>
      <c r="CH805" s="1859">
        <f t="shared" si="258"/>
        <v>0</v>
      </c>
      <c r="CI805" s="1859">
        <f t="shared" ref="CI805:ET805" si="259">SUM(CI767:CI804)</f>
        <v>0</v>
      </c>
      <c r="CJ805" s="1859">
        <f t="shared" si="259"/>
        <v>0</v>
      </c>
      <c r="CK805" s="1859">
        <f t="shared" si="259"/>
        <v>0</v>
      </c>
      <c r="CL805" s="1859">
        <f t="shared" si="259"/>
        <v>0</v>
      </c>
      <c r="CM805" s="1859">
        <f t="shared" si="259"/>
        <v>0</v>
      </c>
      <c r="CN805" s="1859">
        <f t="shared" si="259"/>
        <v>0</v>
      </c>
      <c r="CO805" s="1859">
        <f t="shared" si="259"/>
        <v>0</v>
      </c>
      <c r="CP805" s="1859">
        <f t="shared" si="259"/>
        <v>0</v>
      </c>
      <c r="CQ805" s="1859">
        <f t="shared" si="259"/>
        <v>0</v>
      </c>
      <c r="CR805" s="1859">
        <f t="shared" si="259"/>
        <v>0</v>
      </c>
      <c r="CS805" s="1859">
        <f t="shared" si="259"/>
        <v>0</v>
      </c>
      <c r="CT805" s="1859">
        <f t="shared" si="259"/>
        <v>0</v>
      </c>
      <c r="CU805" s="1859">
        <f t="shared" si="259"/>
        <v>0</v>
      </c>
      <c r="CV805" s="1859">
        <f t="shared" si="259"/>
        <v>0</v>
      </c>
      <c r="CW805" s="1859">
        <f t="shared" si="259"/>
        <v>0</v>
      </c>
      <c r="CX805" s="1859">
        <f t="shared" si="259"/>
        <v>0</v>
      </c>
      <c r="CY805" s="1859">
        <f t="shared" si="259"/>
        <v>0</v>
      </c>
      <c r="CZ805" s="1859">
        <f t="shared" si="259"/>
        <v>0</v>
      </c>
      <c r="DA805" s="1859">
        <f t="shared" si="259"/>
        <v>0</v>
      </c>
      <c r="DB805" s="1859">
        <f t="shared" si="259"/>
        <v>0</v>
      </c>
      <c r="DC805" s="1859">
        <f t="shared" si="259"/>
        <v>0</v>
      </c>
      <c r="DD805" s="1859">
        <f t="shared" si="259"/>
        <v>0</v>
      </c>
      <c r="DE805" s="1859">
        <f t="shared" si="259"/>
        <v>0</v>
      </c>
      <c r="DF805" s="1859">
        <f t="shared" si="259"/>
        <v>0</v>
      </c>
      <c r="DG805" s="1859">
        <f t="shared" si="259"/>
        <v>0</v>
      </c>
      <c r="DH805" s="1859">
        <f t="shared" si="259"/>
        <v>0</v>
      </c>
      <c r="DI805" s="1859">
        <f t="shared" si="259"/>
        <v>0</v>
      </c>
      <c r="DJ805" s="1859">
        <f t="shared" si="259"/>
        <v>0</v>
      </c>
      <c r="DK805" s="1859">
        <f t="shared" si="259"/>
        <v>0</v>
      </c>
      <c r="DL805" s="1859">
        <f t="shared" si="259"/>
        <v>0</v>
      </c>
      <c r="DM805" s="1859">
        <f t="shared" si="259"/>
        <v>0</v>
      </c>
      <c r="DN805" s="1859">
        <f t="shared" si="259"/>
        <v>0</v>
      </c>
      <c r="DO805" s="1859">
        <f t="shared" si="259"/>
        <v>0</v>
      </c>
      <c r="DP805" s="1859">
        <f t="shared" si="259"/>
        <v>0</v>
      </c>
      <c r="DQ805" s="1859">
        <f t="shared" si="259"/>
        <v>0</v>
      </c>
      <c r="DR805" s="1859">
        <f t="shared" si="259"/>
        <v>0</v>
      </c>
      <c r="DS805" s="1859">
        <f t="shared" si="259"/>
        <v>0</v>
      </c>
      <c r="DT805" s="1859">
        <f t="shared" si="259"/>
        <v>0</v>
      </c>
      <c r="DU805" s="1859">
        <f t="shared" si="259"/>
        <v>0</v>
      </c>
      <c r="DV805" s="1859">
        <f t="shared" si="259"/>
        <v>0</v>
      </c>
      <c r="DW805" s="1859">
        <f t="shared" si="259"/>
        <v>0</v>
      </c>
      <c r="DX805" s="1859">
        <f t="shared" si="259"/>
        <v>0</v>
      </c>
      <c r="DY805" s="1859">
        <f t="shared" si="259"/>
        <v>0</v>
      </c>
      <c r="DZ805" s="1859">
        <f t="shared" si="259"/>
        <v>0</v>
      </c>
      <c r="EA805" s="1859">
        <f t="shared" si="259"/>
        <v>0</v>
      </c>
      <c r="EB805" s="1859">
        <f t="shared" si="259"/>
        <v>0</v>
      </c>
      <c r="EC805" s="1859">
        <f t="shared" si="259"/>
        <v>0</v>
      </c>
      <c r="ED805" s="1859">
        <f t="shared" si="259"/>
        <v>0</v>
      </c>
      <c r="EE805" s="1859">
        <f t="shared" si="259"/>
        <v>0</v>
      </c>
      <c r="EF805" s="1859">
        <f t="shared" si="259"/>
        <v>0</v>
      </c>
      <c r="EG805" s="1859">
        <f t="shared" si="259"/>
        <v>0</v>
      </c>
      <c r="EH805" s="1859">
        <f t="shared" si="259"/>
        <v>95</v>
      </c>
      <c r="EI805" s="1859">
        <f t="shared" si="259"/>
        <v>28</v>
      </c>
      <c r="EJ805" s="1859">
        <f t="shared" si="259"/>
        <v>0</v>
      </c>
      <c r="EK805" s="1859">
        <f t="shared" si="259"/>
        <v>0</v>
      </c>
      <c r="EL805" s="1859">
        <f t="shared" si="259"/>
        <v>0</v>
      </c>
      <c r="EM805" s="1859">
        <f t="shared" si="259"/>
        <v>0</v>
      </c>
      <c r="EN805" s="1859">
        <f t="shared" si="259"/>
        <v>0</v>
      </c>
      <c r="EO805" s="1859">
        <f t="shared" si="259"/>
        <v>0</v>
      </c>
      <c r="EP805" s="1859">
        <f t="shared" si="259"/>
        <v>0</v>
      </c>
      <c r="EQ805" s="1859">
        <f t="shared" si="259"/>
        <v>0</v>
      </c>
      <c r="ER805" s="1859">
        <f t="shared" si="259"/>
        <v>0</v>
      </c>
      <c r="ES805" s="1859">
        <f t="shared" si="259"/>
        <v>0</v>
      </c>
      <c r="ET805" s="1859">
        <f t="shared" si="259"/>
        <v>0</v>
      </c>
      <c r="EU805" s="1859">
        <f t="shared" ref="EU805:HF805" si="260">SUM(EU767:EU804)</f>
        <v>0</v>
      </c>
      <c r="EV805" s="1859">
        <f t="shared" si="260"/>
        <v>0</v>
      </c>
      <c r="EW805" s="1859">
        <f t="shared" si="260"/>
        <v>95</v>
      </c>
      <c r="EX805" s="1859">
        <f t="shared" si="260"/>
        <v>28</v>
      </c>
      <c r="EY805" s="1859">
        <f t="shared" si="260"/>
        <v>0</v>
      </c>
      <c r="EZ805" s="1859">
        <f t="shared" si="260"/>
        <v>0</v>
      </c>
      <c r="FA805" s="1859">
        <f t="shared" si="260"/>
        <v>0</v>
      </c>
      <c r="FB805" s="1859">
        <f t="shared" si="260"/>
        <v>0</v>
      </c>
      <c r="FC805" s="1859">
        <f t="shared" si="260"/>
        <v>0</v>
      </c>
      <c r="FD805" s="1859">
        <f t="shared" si="260"/>
        <v>0</v>
      </c>
      <c r="FE805" s="1859">
        <f t="shared" si="260"/>
        <v>0</v>
      </c>
      <c r="FF805" s="1859">
        <f t="shared" si="260"/>
        <v>0</v>
      </c>
      <c r="FG805" s="1859">
        <f t="shared" si="260"/>
        <v>0</v>
      </c>
      <c r="FH805" s="1859">
        <f t="shared" si="260"/>
        <v>0</v>
      </c>
      <c r="FI805" s="1859">
        <f t="shared" si="260"/>
        <v>0</v>
      </c>
      <c r="FJ805" s="1859">
        <f t="shared" si="260"/>
        <v>0</v>
      </c>
      <c r="FK805" s="1859">
        <f t="shared" si="260"/>
        <v>0</v>
      </c>
      <c r="FL805" s="1859">
        <f t="shared" si="260"/>
        <v>0</v>
      </c>
      <c r="FM805" s="1859">
        <f t="shared" si="260"/>
        <v>0</v>
      </c>
      <c r="FN805" s="1859">
        <f t="shared" si="260"/>
        <v>0</v>
      </c>
      <c r="FO805" s="1859">
        <f t="shared" si="260"/>
        <v>0</v>
      </c>
      <c r="FP805" s="1859">
        <f t="shared" si="260"/>
        <v>0</v>
      </c>
      <c r="FQ805" s="1859">
        <f t="shared" si="260"/>
        <v>0</v>
      </c>
      <c r="FR805" s="1859">
        <f t="shared" si="260"/>
        <v>0</v>
      </c>
      <c r="FS805" s="1859">
        <f t="shared" si="260"/>
        <v>0</v>
      </c>
      <c r="FT805" s="1859">
        <f t="shared" si="260"/>
        <v>0</v>
      </c>
      <c r="FU805" s="1859">
        <f t="shared" si="260"/>
        <v>0</v>
      </c>
      <c r="FV805" s="1859">
        <f t="shared" si="260"/>
        <v>0</v>
      </c>
      <c r="FW805" s="1859">
        <f t="shared" si="260"/>
        <v>0</v>
      </c>
      <c r="FX805" s="1859">
        <f t="shared" si="260"/>
        <v>0</v>
      </c>
      <c r="FY805" s="1859">
        <f t="shared" si="260"/>
        <v>0</v>
      </c>
      <c r="FZ805" s="1859">
        <f t="shared" si="260"/>
        <v>0</v>
      </c>
      <c r="GA805" s="1859">
        <f t="shared" si="260"/>
        <v>0</v>
      </c>
      <c r="GB805" s="1859">
        <f t="shared" si="260"/>
        <v>0</v>
      </c>
      <c r="GC805" s="1859">
        <f t="shared" si="260"/>
        <v>0</v>
      </c>
      <c r="GD805" s="1859">
        <f t="shared" si="260"/>
        <v>0</v>
      </c>
      <c r="GE805" s="1859">
        <f t="shared" si="260"/>
        <v>0</v>
      </c>
      <c r="GF805" s="1859">
        <f t="shared" si="260"/>
        <v>0</v>
      </c>
      <c r="GG805" s="1859">
        <f t="shared" si="260"/>
        <v>0</v>
      </c>
      <c r="GH805" s="1859">
        <f t="shared" si="260"/>
        <v>0</v>
      </c>
      <c r="GI805" s="1859">
        <f t="shared" si="260"/>
        <v>0</v>
      </c>
      <c r="GJ805" s="1859">
        <f t="shared" si="260"/>
        <v>0</v>
      </c>
      <c r="GK805" s="1859">
        <f t="shared" si="260"/>
        <v>0</v>
      </c>
      <c r="GL805" s="1859">
        <f t="shared" si="260"/>
        <v>0</v>
      </c>
      <c r="GM805" s="1859">
        <f t="shared" si="260"/>
        <v>0</v>
      </c>
      <c r="GN805" s="1859">
        <f t="shared" si="260"/>
        <v>0</v>
      </c>
      <c r="GO805" s="1859">
        <f t="shared" si="260"/>
        <v>0</v>
      </c>
      <c r="GP805" s="1859">
        <f t="shared" si="260"/>
        <v>0</v>
      </c>
      <c r="GQ805" s="1859">
        <f t="shared" si="260"/>
        <v>0</v>
      </c>
      <c r="GR805" s="1859">
        <f t="shared" si="260"/>
        <v>0</v>
      </c>
      <c r="GS805" s="1859">
        <f t="shared" si="260"/>
        <v>0</v>
      </c>
      <c r="GT805" s="1859">
        <f t="shared" si="260"/>
        <v>0</v>
      </c>
      <c r="GU805" s="1859">
        <f t="shared" si="260"/>
        <v>0</v>
      </c>
      <c r="GV805" s="1859">
        <f t="shared" si="260"/>
        <v>0</v>
      </c>
      <c r="GW805" s="1859">
        <f t="shared" si="260"/>
        <v>0</v>
      </c>
      <c r="GX805" s="1859">
        <f t="shared" si="260"/>
        <v>0</v>
      </c>
      <c r="GY805" s="1859">
        <f t="shared" si="260"/>
        <v>0</v>
      </c>
      <c r="GZ805" s="1859">
        <f t="shared" si="260"/>
        <v>0</v>
      </c>
      <c r="HA805" s="1859">
        <f t="shared" si="260"/>
        <v>0</v>
      </c>
      <c r="HB805" s="1859">
        <f t="shared" si="260"/>
        <v>0</v>
      </c>
      <c r="HC805" s="1859">
        <f t="shared" si="260"/>
        <v>0</v>
      </c>
      <c r="HD805" s="1859">
        <f t="shared" si="260"/>
        <v>0</v>
      </c>
      <c r="HE805" s="1859">
        <f t="shared" si="260"/>
        <v>0</v>
      </c>
      <c r="HF805" s="1859">
        <f t="shared" si="260"/>
        <v>0</v>
      </c>
      <c r="HG805" s="1859">
        <f t="shared" ref="HG805:JR805" si="261">SUM(HG767:HG804)</f>
        <v>0</v>
      </c>
      <c r="HH805" s="1859">
        <f t="shared" si="261"/>
        <v>0</v>
      </c>
      <c r="HI805" s="1859">
        <f t="shared" si="261"/>
        <v>0</v>
      </c>
      <c r="HJ805" s="1859">
        <f t="shared" si="261"/>
        <v>0</v>
      </c>
      <c r="HK805" s="1859">
        <f t="shared" si="261"/>
        <v>0</v>
      </c>
      <c r="HL805" s="1859">
        <f t="shared" si="261"/>
        <v>0</v>
      </c>
      <c r="HM805" s="1859">
        <f t="shared" si="261"/>
        <v>0</v>
      </c>
      <c r="HN805" s="1859">
        <f t="shared" si="261"/>
        <v>0</v>
      </c>
      <c r="HO805" s="1859">
        <f t="shared" si="261"/>
        <v>0</v>
      </c>
      <c r="HP805" s="1859">
        <f t="shared" si="261"/>
        <v>0</v>
      </c>
      <c r="HQ805" s="1859">
        <f t="shared" si="261"/>
        <v>0</v>
      </c>
      <c r="HR805" s="1859">
        <f t="shared" si="261"/>
        <v>0</v>
      </c>
      <c r="HS805" s="1859">
        <f t="shared" si="261"/>
        <v>0</v>
      </c>
      <c r="HT805" s="1859">
        <f t="shared" si="261"/>
        <v>95</v>
      </c>
      <c r="HU805" s="1859">
        <f t="shared" si="261"/>
        <v>28</v>
      </c>
      <c r="HV805" s="1859">
        <f t="shared" si="261"/>
        <v>0</v>
      </c>
      <c r="HW805" s="1859">
        <f t="shared" si="261"/>
        <v>0</v>
      </c>
      <c r="HX805" s="1859">
        <f t="shared" si="261"/>
        <v>0</v>
      </c>
      <c r="HY805" s="1859">
        <f t="shared" si="261"/>
        <v>0</v>
      </c>
      <c r="HZ805" s="1859">
        <f t="shared" si="261"/>
        <v>0</v>
      </c>
      <c r="IA805" s="1859">
        <f t="shared" si="261"/>
        <v>0</v>
      </c>
      <c r="IB805" s="1859">
        <f t="shared" si="261"/>
        <v>0</v>
      </c>
      <c r="IC805" s="1859">
        <f t="shared" si="261"/>
        <v>0</v>
      </c>
      <c r="ID805" s="1859">
        <f t="shared" si="261"/>
        <v>0</v>
      </c>
      <c r="IE805" s="1859">
        <f t="shared" si="261"/>
        <v>0</v>
      </c>
      <c r="IF805" s="1859">
        <f t="shared" si="261"/>
        <v>0</v>
      </c>
      <c r="IG805" s="1859">
        <f t="shared" si="261"/>
        <v>0</v>
      </c>
      <c r="IH805" s="1859">
        <f t="shared" si="261"/>
        <v>0</v>
      </c>
      <c r="II805" s="1859">
        <f t="shared" si="261"/>
        <v>0</v>
      </c>
      <c r="IJ805" s="1859">
        <f t="shared" si="261"/>
        <v>0</v>
      </c>
      <c r="IK805" s="1859">
        <f t="shared" si="261"/>
        <v>0</v>
      </c>
      <c r="IL805" s="1859">
        <f t="shared" si="261"/>
        <v>0</v>
      </c>
      <c r="IM805" s="1859">
        <f t="shared" si="261"/>
        <v>0</v>
      </c>
      <c r="IN805" s="1859">
        <f t="shared" si="261"/>
        <v>0</v>
      </c>
      <c r="IO805" s="1859">
        <f t="shared" si="261"/>
        <v>0</v>
      </c>
      <c r="IP805" s="1859">
        <f t="shared" si="261"/>
        <v>0</v>
      </c>
      <c r="IQ805" s="1859">
        <f t="shared" si="261"/>
        <v>0</v>
      </c>
      <c r="IR805" s="1859">
        <f t="shared" si="261"/>
        <v>0</v>
      </c>
      <c r="IS805" s="1859">
        <f t="shared" si="261"/>
        <v>0</v>
      </c>
      <c r="IT805" s="1859">
        <f t="shared" si="261"/>
        <v>0</v>
      </c>
      <c r="IU805" s="1859">
        <f t="shared" si="261"/>
        <v>0</v>
      </c>
      <c r="IV805" s="1859">
        <f t="shared" si="261"/>
        <v>0</v>
      </c>
      <c r="IW805" s="1859">
        <f t="shared" si="261"/>
        <v>0</v>
      </c>
      <c r="IX805" s="1859">
        <f t="shared" si="261"/>
        <v>0</v>
      </c>
      <c r="IY805" s="1859">
        <f t="shared" si="261"/>
        <v>0</v>
      </c>
      <c r="IZ805" s="1859">
        <f t="shared" si="261"/>
        <v>0</v>
      </c>
      <c r="JA805" s="1859">
        <f t="shared" si="261"/>
        <v>0</v>
      </c>
      <c r="JB805" s="1859">
        <f t="shared" si="261"/>
        <v>0</v>
      </c>
      <c r="JC805" s="1859">
        <f t="shared" si="261"/>
        <v>95</v>
      </c>
      <c r="JD805" s="1859">
        <f t="shared" si="261"/>
        <v>28</v>
      </c>
      <c r="JE805" s="1859">
        <f t="shared" si="261"/>
        <v>0</v>
      </c>
      <c r="JF805" s="1859">
        <f t="shared" si="261"/>
        <v>0</v>
      </c>
      <c r="JG805" s="1859">
        <f t="shared" si="261"/>
        <v>0</v>
      </c>
      <c r="JH805" s="1859">
        <f t="shared" si="261"/>
        <v>0</v>
      </c>
      <c r="JI805" s="1859">
        <f t="shared" si="261"/>
        <v>0</v>
      </c>
      <c r="JJ805" s="1859">
        <f t="shared" si="261"/>
        <v>0</v>
      </c>
      <c r="JK805" s="1859">
        <f t="shared" si="261"/>
        <v>0</v>
      </c>
      <c r="JL805" s="1859">
        <f t="shared" si="261"/>
        <v>0</v>
      </c>
      <c r="JM805" s="1859">
        <f t="shared" si="261"/>
        <v>0</v>
      </c>
      <c r="JN805" s="1859">
        <f t="shared" si="261"/>
        <v>0</v>
      </c>
      <c r="JO805" s="1859">
        <f t="shared" si="261"/>
        <v>0</v>
      </c>
      <c r="JP805" s="1859">
        <f t="shared" si="261"/>
        <v>0</v>
      </c>
      <c r="JQ805" s="1859">
        <f t="shared" si="261"/>
        <v>0</v>
      </c>
      <c r="JR805" s="1859">
        <f t="shared" si="261"/>
        <v>0</v>
      </c>
    </row>
    <row r="806" spans="1:278" ht="12" customHeight="1">
      <c r="B806" s="1629"/>
      <c r="D806" s="1860"/>
      <c r="E806" s="1856"/>
      <c r="F806" s="1856"/>
      <c r="G806" s="479"/>
      <c r="H806" s="479"/>
      <c r="I806" s="479"/>
      <c r="J806" s="479"/>
      <c r="K806" s="1855" t="s">
        <v>822</v>
      </c>
      <c r="L806" s="1856">
        <f>L805*12</f>
        <v>851761.79999999993</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4757</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1859</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76</v>
      </c>
      <c r="K813" s="1865">
        <f>X805</f>
        <v>22</v>
      </c>
      <c r="L813" s="1865">
        <f>Y805</f>
        <v>0</v>
      </c>
      <c r="M813" s="1865">
        <f>Z805</f>
        <v>0</v>
      </c>
      <c r="N813" s="1865">
        <f>AA805</f>
        <v>0</v>
      </c>
      <c r="O813" s="1865">
        <f t="shared" ref="O813:O819" si="262">SUM(J813:N813)</f>
        <v>98</v>
      </c>
      <c r="P813" s="1792" t="s">
        <v>3695</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19</v>
      </c>
      <c r="K814" s="1865">
        <f>AC805</f>
        <v>6</v>
      </c>
      <c r="L814" s="1865">
        <f>AD805</f>
        <v>0</v>
      </c>
      <c r="M814" s="1865">
        <f>AE805</f>
        <v>0</v>
      </c>
      <c r="N814" s="1865">
        <f>AF805</f>
        <v>0</v>
      </c>
      <c r="O814" s="1865">
        <f t="shared" si="262"/>
        <v>25</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95</v>
      </c>
      <c r="K815" s="1865">
        <f>SUM(K813:K814)</f>
        <v>28</v>
      </c>
      <c r="L815" s="1865">
        <f>SUM(L813:L814)</f>
        <v>0</v>
      </c>
      <c r="M815" s="1865">
        <f>SUM(M813:M814)</f>
        <v>0</v>
      </c>
      <c r="N815" s="1865">
        <f>SUM(N813:N814)</f>
        <v>0</v>
      </c>
      <c r="O815" s="1865">
        <f t="shared" si="262"/>
        <v>123</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2"/>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95</v>
      </c>
      <c r="K817" s="1865">
        <f>SUM(K815:K816)</f>
        <v>28</v>
      </c>
      <c r="L817" s="1865">
        <f>SUM(L815:L816)</f>
        <v>0</v>
      </c>
      <c r="M817" s="1865">
        <f>SUM(M815:M816)</f>
        <v>0</v>
      </c>
      <c r="N817" s="1865">
        <f>SUM(N815:N816)</f>
        <v>0</v>
      </c>
      <c r="O817" s="1865">
        <f t="shared" si="262"/>
        <v>123</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2528</v>
      </c>
      <c r="D818" s="1629"/>
      <c r="E818" s="1629"/>
      <c r="F818" s="1629"/>
      <c r="H818" s="478"/>
      <c r="J818" s="1865">
        <f>BU805</f>
        <v>0</v>
      </c>
      <c r="K818" s="1865">
        <f>BV805</f>
        <v>0</v>
      </c>
      <c r="L818" s="1865">
        <f>BW805</f>
        <v>0</v>
      </c>
      <c r="M818" s="1865">
        <f>BX805</f>
        <v>0</v>
      </c>
      <c r="N818" s="1865">
        <f>BY805</f>
        <v>0</v>
      </c>
      <c r="O818" s="1865">
        <f t="shared" si="262"/>
        <v>0</v>
      </c>
      <c r="P818" s="1631" t="s">
        <v>3696</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95</v>
      </c>
      <c r="K819" s="1865">
        <f>SUM(K817:K818)</f>
        <v>28</v>
      </c>
      <c r="L819" s="1865">
        <f>SUM(L817:L818)</f>
        <v>0</v>
      </c>
      <c r="M819" s="1865">
        <f>SUM(M817:M818)</f>
        <v>0</v>
      </c>
      <c r="N819" s="1865">
        <f>SUM(N817:N818)</f>
        <v>0</v>
      </c>
      <c r="O819" s="1865">
        <f t="shared" si="262"/>
        <v>123</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2529</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2529</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2311</v>
      </c>
      <c r="F829" s="1629"/>
      <c r="H829" s="478" t="s">
        <v>1444</v>
      </c>
      <c r="J829" s="1865">
        <f>DD805</f>
        <v>0</v>
      </c>
      <c r="K829" s="1865">
        <f>DE805</f>
        <v>0</v>
      </c>
      <c r="L829" s="1865">
        <f>DF805</f>
        <v>0</v>
      </c>
      <c r="M829" s="1865">
        <f>DG805</f>
        <v>0</v>
      </c>
      <c r="N829" s="1865">
        <f>DH805</f>
        <v>0</v>
      </c>
      <c r="O829" s="1865">
        <f t="shared" ref="O829:O839" si="263">SUM(J829:N829)</f>
        <v>0</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3"/>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0</v>
      </c>
      <c r="L831" s="1865">
        <f>SUM(L829:L830)+DP805</f>
        <v>0</v>
      </c>
      <c r="M831" s="1865">
        <f>SUM(M829:M830)+DQ805</f>
        <v>0</v>
      </c>
      <c r="N831" s="1865">
        <f>SUM(N829:N830)+DR805</f>
        <v>0</v>
      </c>
      <c r="O831" s="1865">
        <f t="shared" si="263"/>
        <v>0</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2153</v>
      </c>
      <c r="F832" s="1629"/>
      <c r="H832" s="478" t="s">
        <v>1444</v>
      </c>
      <c r="J832" s="1865">
        <f>DS805</f>
        <v>0</v>
      </c>
      <c r="K832" s="1865">
        <f>DT805</f>
        <v>0</v>
      </c>
      <c r="L832" s="1865">
        <f>DU805</f>
        <v>0</v>
      </c>
      <c r="M832" s="1865">
        <f>DV805</f>
        <v>0</v>
      </c>
      <c r="N832" s="1865">
        <f>DW805</f>
        <v>0</v>
      </c>
      <c r="O832" s="1865">
        <f t="shared" si="263"/>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3"/>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3"/>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95</v>
      </c>
      <c r="K835" s="1865">
        <f>EI805</f>
        <v>28</v>
      </c>
      <c r="L835" s="1865">
        <f>EJ805</f>
        <v>0</v>
      </c>
      <c r="M835" s="1865">
        <f>EK805</f>
        <v>0</v>
      </c>
      <c r="N835" s="1865">
        <f>EL805</f>
        <v>0</v>
      </c>
      <c r="O835" s="1865">
        <f t="shared" si="263"/>
        <v>123</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3"/>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95</v>
      </c>
      <c r="K837" s="1865">
        <f>SUM(K835:K836)+ES805</f>
        <v>28</v>
      </c>
      <c r="L837" s="1865">
        <f>SUM(L835:L836)+ET805</f>
        <v>0</v>
      </c>
      <c r="M837" s="1865">
        <f>SUM(M835:M836)+EU805</f>
        <v>0</v>
      </c>
      <c r="N837" s="1865">
        <f>SUM(N835:N836)+EV805</f>
        <v>0</v>
      </c>
      <c r="O837" s="1865">
        <f t="shared" si="263"/>
        <v>123</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3"/>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4545</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3"/>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3379</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4758</v>
      </c>
      <c r="D843" s="1775"/>
      <c r="E843" s="1830" t="s">
        <v>40</v>
      </c>
      <c r="F843" s="1629"/>
      <c r="G843" s="1631"/>
      <c r="J843" s="1865">
        <f t="shared" ref="J843:O843" si="264">SUM(J844:J851)</f>
        <v>95</v>
      </c>
      <c r="K843" s="1865">
        <f t="shared" si="264"/>
        <v>28</v>
      </c>
      <c r="L843" s="1865">
        <f t="shared" si="264"/>
        <v>0</v>
      </c>
      <c r="M843" s="1865">
        <f t="shared" si="264"/>
        <v>0</v>
      </c>
      <c r="N843" s="1865">
        <f t="shared" si="264"/>
        <v>0</v>
      </c>
      <c r="O843" s="1865">
        <f t="shared" si="264"/>
        <v>123</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2621</v>
      </c>
      <c r="J844" s="1865">
        <f>GP805</f>
        <v>0</v>
      </c>
      <c r="K844" s="1865">
        <f>GQ805</f>
        <v>0</v>
      </c>
      <c r="L844" s="1865">
        <f>GR805</f>
        <v>0</v>
      </c>
      <c r="M844" s="1865">
        <f>GS805</f>
        <v>0</v>
      </c>
      <c r="N844" s="1865">
        <f>GT805</f>
        <v>0</v>
      </c>
      <c r="O844" s="1865">
        <f t="shared" ref="O844:O859" si="265">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3379</v>
      </c>
      <c r="J845" s="1865">
        <f>GU805</f>
        <v>0</v>
      </c>
      <c r="K845" s="1865">
        <f>GV805</f>
        <v>0</v>
      </c>
      <c r="L845" s="1865">
        <f>GW805</f>
        <v>0</v>
      </c>
      <c r="M845" s="1865">
        <f>GX805</f>
        <v>0</v>
      </c>
      <c r="N845" s="1865">
        <f>GY805</f>
        <v>0</v>
      </c>
      <c r="O845" s="1865">
        <f t="shared" si="265"/>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2622</v>
      </c>
      <c r="J846" s="1865">
        <f>GZ805</f>
        <v>0</v>
      </c>
      <c r="K846" s="1865">
        <f>HA805</f>
        <v>0</v>
      </c>
      <c r="L846" s="1865">
        <f>HB805</f>
        <v>0</v>
      </c>
      <c r="M846" s="1865">
        <f>HC805</f>
        <v>0</v>
      </c>
      <c r="N846" s="1865">
        <f>HD805</f>
        <v>0</v>
      </c>
      <c r="O846" s="1865">
        <f t="shared" si="265"/>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3379</v>
      </c>
      <c r="J847" s="1865">
        <f>HE805</f>
        <v>0</v>
      </c>
      <c r="K847" s="1865">
        <f>HF805</f>
        <v>0</v>
      </c>
      <c r="L847" s="1865">
        <f>HG805</f>
        <v>0</v>
      </c>
      <c r="M847" s="1865">
        <f>HH805</f>
        <v>0</v>
      </c>
      <c r="N847" s="1865">
        <f>HI805</f>
        <v>0</v>
      </c>
      <c r="O847" s="1865">
        <f t="shared" si="265"/>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2624</v>
      </c>
      <c r="J848" s="1865">
        <f>HJ805</f>
        <v>0</v>
      </c>
      <c r="K848" s="1865">
        <f>HK805</f>
        <v>0</v>
      </c>
      <c r="L848" s="1865">
        <f>HL805</f>
        <v>0</v>
      </c>
      <c r="M848" s="1865">
        <f>HM805</f>
        <v>0</v>
      </c>
      <c r="N848" s="1865">
        <f>HN805</f>
        <v>0</v>
      </c>
      <c r="O848" s="1865">
        <f t="shared" si="265"/>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3379</v>
      </c>
      <c r="J849" s="1865">
        <f>HO805</f>
        <v>0</v>
      </c>
      <c r="K849" s="1865">
        <f>HP805</f>
        <v>0</v>
      </c>
      <c r="L849" s="1865">
        <f>HQ805</f>
        <v>0</v>
      </c>
      <c r="M849" s="1865">
        <f>HR805</f>
        <v>0</v>
      </c>
      <c r="N849" s="1865">
        <f>HS805</f>
        <v>0</v>
      </c>
      <c r="O849" s="1865">
        <f t="shared" si="265"/>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2623</v>
      </c>
      <c r="J850" s="1865">
        <f>HT805</f>
        <v>95</v>
      </c>
      <c r="K850" s="1865">
        <f>HU805</f>
        <v>28</v>
      </c>
      <c r="L850" s="1865">
        <f>HV805</f>
        <v>0</v>
      </c>
      <c r="M850" s="1865">
        <f>HW805</f>
        <v>0</v>
      </c>
      <c r="N850" s="1865">
        <f>HX805</f>
        <v>0</v>
      </c>
      <c r="O850" s="1865">
        <f t="shared" si="265"/>
        <v>123</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3379</v>
      </c>
      <c r="J851" s="1865">
        <f>HY805</f>
        <v>0</v>
      </c>
      <c r="K851" s="1865">
        <f>HZ805</f>
        <v>0</v>
      </c>
      <c r="L851" s="1865">
        <f>IA805</f>
        <v>0</v>
      </c>
      <c r="M851" s="1865">
        <f>IB805</f>
        <v>0</v>
      </c>
      <c r="N851" s="1865">
        <f>IC805</f>
        <v>0</v>
      </c>
      <c r="O851" s="1865">
        <f t="shared" si="265"/>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5"/>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3379</v>
      </c>
      <c r="J853" s="1865">
        <f>FG805</f>
        <v>0</v>
      </c>
      <c r="K853" s="1865">
        <f>FH805</f>
        <v>0</v>
      </c>
      <c r="L853" s="1865">
        <f>FI805</f>
        <v>0</v>
      </c>
      <c r="M853" s="1865">
        <f>FJ805</f>
        <v>0</v>
      </c>
      <c r="N853" s="1865">
        <f>FK805</f>
        <v>0</v>
      </c>
      <c r="O853" s="1865">
        <f t="shared" si="265"/>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5"/>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3379</v>
      </c>
      <c r="J855" s="1865">
        <f>GK805</f>
        <v>0</v>
      </c>
      <c r="K855" s="1865">
        <f>GL805</f>
        <v>0</v>
      </c>
      <c r="L855" s="1865">
        <f>GM805</f>
        <v>0</v>
      </c>
      <c r="M855" s="1865">
        <f>GN805</f>
        <v>0</v>
      </c>
      <c r="N855" s="1865">
        <f>GO805</f>
        <v>0</v>
      </c>
      <c r="O855" s="1865">
        <f t="shared" si="265"/>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5"/>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3379</v>
      </c>
      <c r="J857" s="1865">
        <f>GA805</f>
        <v>0</v>
      </c>
      <c r="K857" s="1865">
        <f>GB805</f>
        <v>0</v>
      </c>
      <c r="L857" s="1865">
        <f>GC805</f>
        <v>0</v>
      </c>
      <c r="M857" s="1865">
        <f>GD805</f>
        <v>0</v>
      </c>
      <c r="N857" s="1865">
        <f>GE805</f>
        <v>0</v>
      </c>
      <c r="O857" s="1865">
        <f t="shared" si="265"/>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5"/>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3379</v>
      </c>
      <c r="J859" s="1865">
        <f>FQ805</f>
        <v>0</v>
      </c>
      <c r="K859" s="1865">
        <f>FR805</f>
        <v>0</v>
      </c>
      <c r="L859" s="1865">
        <f>FS805</f>
        <v>0</v>
      </c>
      <c r="M859" s="1865">
        <f>FT805</f>
        <v>0</v>
      </c>
      <c r="N859" s="1865">
        <f>FU805</f>
        <v>0</v>
      </c>
      <c r="O859" s="1865">
        <f t="shared" si="265"/>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4759</v>
      </c>
      <c r="D861" s="1775"/>
      <c r="E861" s="1830" t="s">
        <v>3374</v>
      </c>
      <c r="F861" s="1631"/>
      <c r="H861" s="1872"/>
      <c r="J861" s="1865">
        <f t="shared" ref="J861:N862" si="266">J852+J856+J858</f>
        <v>0</v>
      </c>
      <c r="K861" s="1865">
        <f t="shared" si="266"/>
        <v>0</v>
      </c>
      <c r="L861" s="1865">
        <f t="shared" si="266"/>
        <v>0</v>
      </c>
      <c r="M861" s="1865">
        <f t="shared" si="266"/>
        <v>0</v>
      </c>
      <c r="N861" s="1865">
        <f t="shared" si="266"/>
        <v>0</v>
      </c>
      <c r="O861" s="1865">
        <f t="shared" ref="O861:O868" si="267">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3379</v>
      </c>
      <c r="J862" s="1865">
        <f t="shared" si="266"/>
        <v>0</v>
      </c>
      <c r="K862" s="1865">
        <f t="shared" si="266"/>
        <v>0</v>
      </c>
      <c r="L862" s="1865">
        <f t="shared" si="266"/>
        <v>0</v>
      </c>
      <c r="M862" s="1865">
        <f t="shared" si="266"/>
        <v>0</v>
      </c>
      <c r="N862" s="1865">
        <f t="shared" si="266"/>
        <v>0</v>
      </c>
      <c r="O862" s="1865">
        <f t="shared" si="267"/>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3375</v>
      </c>
      <c r="F863" s="1631"/>
      <c r="H863" s="1631"/>
      <c r="J863" s="1865">
        <f>J844+J854</f>
        <v>0</v>
      </c>
      <c r="K863" s="1865">
        <f t="shared" ref="K863:N864" si="268">K844+K854</f>
        <v>0</v>
      </c>
      <c r="L863" s="1865">
        <f t="shared" si="268"/>
        <v>0</v>
      </c>
      <c r="M863" s="1865">
        <f t="shared" si="268"/>
        <v>0</v>
      </c>
      <c r="N863" s="1865">
        <f t="shared" si="268"/>
        <v>0</v>
      </c>
      <c r="O863" s="1865">
        <f t="shared" si="267"/>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3379</v>
      </c>
      <c r="J864" s="1865">
        <f>J845+J855</f>
        <v>0</v>
      </c>
      <c r="K864" s="1865">
        <f t="shared" si="268"/>
        <v>0</v>
      </c>
      <c r="L864" s="1865">
        <f t="shared" si="268"/>
        <v>0</v>
      </c>
      <c r="M864" s="1865">
        <f t="shared" si="268"/>
        <v>0</v>
      </c>
      <c r="N864" s="1865">
        <f t="shared" si="268"/>
        <v>0</v>
      </c>
      <c r="O864" s="1865">
        <f t="shared" si="267"/>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3376</v>
      </c>
      <c r="F865" s="1631"/>
      <c r="H865" s="1872"/>
      <c r="J865" s="1865">
        <f>J848</f>
        <v>0</v>
      </c>
      <c r="K865" s="1865">
        <f t="shared" ref="K865:N866" si="269">K848</f>
        <v>0</v>
      </c>
      <c r="L865" s="1865">
        <f t="shared" si="269"/>
        <v>0</v>
      </c>
      <c r="M865" s="1865">
        <f t="shared" si="269"/>
        <v>0</v>
      </c>
      <c r="N865" s="1865">
        <f t="shared" si="269"/>
        <v>0</v>
      </c>
      <c r="O865" s="1865">
        <f t="shared" si="267"/>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3379</v>
      </c>
      <c r="J866" s="1865">
        <f>J849</f>
        <v>0</v>
      </c>
      <c r="K866" s="1865">
        <f t="shared" si="269"/>
        <v>0</v>
      </c>
      <c r="L866" s="1865">
        <f t="shared" si="269"/>
        <v>0</v>
      </c>
      <c r="M866" s="1865">
        <f t="shared" si="269"/>
        <v>0</v>
      </c>
      <c r="N866" s="1865">
        <f t="shared" si="269"/>
        <v>0</v>
      </c>
      <c r="O866" s="1865">
        <f t="shared" si="267"/>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3377</v>
      </c>
      <c r="F867" s="1631"/>
      <c r="H867" s="1872"/>
      <c r="J867" s="1865">
        <f>J846+J850</f>
        <v>95</v>
      </c>
      <c r="K867" s="1865">
        <f t="shared" ref="K867:N868" si="270">K846+K850</f>
        <v>28</v>
      </c>
      <c r="L867" s="1865">
        <f t="shared" si="270"/>
        <v>0</v>
      </c>
      <c r="M867" s="1865">
        <f t="shared" si="270"/>
        <v>0</v>
      </c>
      <c r="N867" s="1865">
        <f t="shared" si="270"/>
        <v>0</v>
      </c>
      <c r="O867" s="1865">
        <f t="shared" si="267"/>
        <v>123</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3379</v>
      </c>
      <c r="J868" s="1865">
        <f>J847+J851</f>
        <v>0</v>
      </c>
      <c r="K868" s="1865">
        <f t="shared" si="270"/>
        <v>0</v>
      </c>
      <c r="L868" s="1865">
        <f t="shared" si="270"/>
        <v>0</v>
      </c>
      <c r="M868" s="1865">
        <f t="shared" si="270"/>
        <v>0</v>
      </c>
      <c r="N868" s="1865">
        <f t="shared" si="270"/>
        <v>0</v>
      </c>
      <c r="O868" s="1865">
        <f t="shared" si="267"/>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2181</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2152</v>
      </c>
      <c r="D870" s="1629"/>
      <c r="E870" s="1629"/>
      <c r="F870" s="1629"/>
      <c r="H870" s="1872" t="s">
        <v>1159</v>
      </c>
      <c r="J870" s="1878">
        <f>BZ805</f>
        <v>40080</v>
      </c>
      <c r="K870" s="1878">
        <f>CA805</f>
        <v>18040</v>
      </c>
      <c r="L870" s="1878">
        <f>CB805</f>
        <v>0</v>
      </c>
      <c r="M870" s="1878">
        <f>CC805</f>
        <v>0</v>
      </c>
      <c r="N870" s="1878">
        <f>CD805</f>
        <v>0</v>
      </c>
      <c r="O870" s="1878">
        <f t="shared" ref="O870:O876" si="271">SUM(J870:N870)</f>
        <v>58120</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10040</v>
      </c>
      <c r="K871" s="1878">
        <f>CF805</f>
        <v>4920</v>
      </c>
      <c r="L871" s="1878">
        <f>CG805</f>
        <v>0</v>
      </c>
      <c r="M871" s="1878">
        <f>CH805</f>
        <v>0</v>
      </c>
      <c r="N871" s="1878">
        <f>CI805</f>
        <v>0</v>
      </c>
      <c r="O871" s="1878">
        <f t="shared" si="271"/>
        <v>14960</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50120</v>
      </c>
      <c r="K872" s="1878">
        <f>SUM(K870:K871)</f>
        <v>22960</v>
      </c>
      <c r="L872" s="1878">
        <f>SUM(L870:L871)</f>
        <v>0</v>
      </c>
      <c r="M872" s="1878">
        <f>SUM(M870:M871)</f>
        <v>0</v>
      </c>
      <c r="N872" s="1878">
        <f>SUM(N870:N871)</f>
        <v>0</v>
      </c>
      <c r="O872" s="1878">
        <f t="shared" si="271"/>
        <v>73080</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1"/>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50120</v>
      </c>
      <c r="K874" s="1878">
        <f>SUM(K872:K873)</f>
        <v>22960</v>
      </c>
      <c r="L874" s="1878">
        <f>SUM(L872:L873)</f>
        <v>0</v>
      </c>
      <c r="M874" s="1878">
        <f>SUM(M872:M873)</f>
        <v>0</v>
      </c>
      <c r="N874" s="1878">
        <f>SUM(N872:N873)</f>
        <v>0</v>
      </c>
      <c r="O874" s="1878">
        <f t="shared" si="271"/>
        <v>73080</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2528</v>
      </c>
      <c r="D875" s="1629"/>
      <c r="E875" s="1629"/>
      <c r="F875" s="1629"/>
      <c r="G875" s="1629"/>
      <c r="J875" s="1878">
        <f>CY805</f>
        <v>0</v>
      </c>
      <c r="K875" s="1878">
        <f>CZ805</f>
        <v>0</v>
      </c>
      <c r="L875" s="1878">
        <f>DA805</f>
        <v>0</v>
      </c>
      <c r="M875" s="1878">
        <f>DB805</f>
        <v>0</v>
      </c>
      <c r="N875" s="1878">
        <f>DC805</f>
        <v>0</v>
      </c>
      <c r="O875" s="1878">
        <f t="shared" si="271"/>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50120</v>
      </c>
      <c r="K876" s="1878">
        <f>SUM(K874:K875)</f>
        <v>22960</v>
      </c>
      <c r="L876" s="1878">
        <f>SUM(L874:L875)</f>
        <v>0</v>
      </c>
      <c r="M876" s="1878">
        <f>SUM(M874:M875)</f>
        <v>0</v>
      </c>
      <c r="N876" s="1878">
        <f>SUM(N874:N875)</f>
        <v>0</v>
      </c>
      <c r="O876" s="1878">
        <f t="shared" si="271"/>
        <v>73080</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4760</v>
      </c>
      <c r="R877" s="1821" t="s">
        <v>1859</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17035.235999999997</v>
      </c>
      <c r="I879" s="1880">
        <f>'Part VI-Revenues &amp; Expenses'!I122</f>
        <v>0</v>
      </c>
      <c r="J879" s="1330"/>
      <c r="K879" s="1881" t="s">
        <v>4761</v>
      </c>
      <c r="L879" s="1330"/>
      <c r="M879" s="1330"/>
      <c r="N879" s="1330"/>
      <c r="O879" s="1882">
        <f>H879/L806</f>
        <v>1.9999999999999997E-2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2302</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2">SUM(G883:G884)</f>
        <v>0</v>
      </c>
      <c r="H885" s="1890">
        <f t="shared" si="272"/>
        <v>0</v>
      </c>
      <c r="I885" s="1890">
        <f t="shared" si="272"/>
        <v>0</v>
      </c>
      <c r="J885" s="1890">
        <f t="shared" si="272"/>
        <v>0</v>
      </c>
      <c r="K885" s="1890">
        <f t="shared" si="272"/>
        <v>0</v>
      </c>
      <c r="L885" s="1890">
        <f t="shared" si="272"/>
        <v>0</v>
      </c>
      <c r="M885" s="1890">
        <f t="shared" si="272"/>
        <v>0</v>
      </c>
      <c r="N885" s="1890">
        <f t="shared" si="272"/>
        <v>0</v>
      </c>
      <c r="O885" s="1890">
        <f t="shared" si="272"/>
        <v>0</v>
      </c>
      <c r="P885" s="1890">
        <f t="shared" si="272"/>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4762</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4763</v>
      </c>
      <c r="D889" s="1830"/>
      <c r="E889" s="1830"/>
      <c r="F889" s="1830"/>
      <c r="G889" s="1890">
        <f t="shared" ref="G889:P889" si="273">SUM(G887:G888)</f>
        <v>0</v>
      </c>
      <c r="H889" s="1890">
        <f t="shared" si="273"/>
        <v>0</v>
      </c>
      <c r="I889" s="1890">
        <f t="shared" si="273"/>
        <v>0</v>
      </c>
      <c r="J889" s="1890">
        <f t="shared" si="273"/>
        <v>0</v>
      </c>
      <c r="K889" s="1890">
        <f t="shared" si="273"/>
        <v>0</v>
      </c>
      <c r="L889" s="1890">
        <f t="shared" si="273"/>
        <v>0</v>
      </c>
      <c r="M889" s="1890">
        <f t="shared" si="273"/>
        <v>0</v>
      </c>
      <c r="N889" s="1890">
        <f t="shared" si="273"/>
        <v>0</v>
      </c>
      <c r="O889" s="1890">
        <f t="shared" si="273"/>
        <v>0</v>
      </c>
      <c r="P889" s="1890">
        <f t="shared" si="273"/>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2302</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2639</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4">SUM(G892:G893)</f>
        <v>0</v>
      </c>
      <c r="H894" s="1890">
        <f t="shared" si="274"/>
        <v>0</v>
      </c>
      <c r="I894" s="1890">
        <f t="shared" si="274"/>
        <v>0</v>
      </c>
      <c r="J894" s="1890">
        <f t="shared" si="274"/>
        <v>0</v>
      </c>
      <c r="K894" s="1890">
        <f t="shared" si="274"/>
        <v>0</v>
      </c>
      <c r="L894" s="1890">
        <f t="shared" si="274"/>
        <v>0</v>
      </c>
      <c r="M894" s="1890">
        <f t="shared" si="274"/>
        <v>0</v>
      </c>
      <c r="N894" s="1890">
        <f t="shared" si="274"/>
        <v>0</v>
      </c>
      <c r="O894" s="1890">
        <f t="shared" si="274"/>
        <v>0</v>
      </c>
      <c r="P894" s="1890">
        <f t="shared" si="274"/>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4762</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4763</v>
      </c>
      <c r="D898" s="1830"/>
      <c r="E898" s="1830"/>
      <c r="F898" s="1830"/>
      <c r="G898" s="1890">
        <f t="shared" ref="G898:P898" si="275">SUM(G896:G897)</f>
        <v>0</v>
      </c>
      <c r="H898" s="1890">
        <f t="shared" si="275"/>
        <v>0</v>
      </c>
      <c r="I898" s="1890">
        <f t="shared" si="275"/>
        <v>0</v>
      </c>
      <c r="J898" s="1890">
        <f t="shared" si="275"/>
        <v>0</v>
      </c>
      <c r="K898" s="1890">
        <f t="shared" si="275"/>
        <v>0</v>
      </c>
      <c r="L898" s="1890">
        <f t="shared" si="275"/>
        <v>0</v>
      </c>
      <c r="M898" s="1890">
        <f t="shared" si="275"/>
        <v>0</v>
      </c>
      <c r="N898" s="1890">
        <f t="shared" si="275"/>
        <v>0</v>
      </c>
      <c r="O898" s="1890">
        <f t="shared" si="275"/>
        <v>0</v>
      </c>
      <c r="P898" s="1890">
        <f t="shared" si="275"/>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2302</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2640</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6">SUM(G901:G902)</f>
        <v>0</v>
      </c>
      <c r="H903" s="1890">
        <f t="shared" si="276"/>
        <v>0</v>
      </c>
      <c r="I903" s="1890">
        <f t="shared" si="276"/>
        <v>0</v>
      </c>
      <c r="J903" s="1890">
        <f t="shared" si="276"/>
        <v>0</v>
      </c>
      <c r="K903" s="1890">
        <f t="shared" si="276"/>
        <v>0</v>
      </c>
      <c r="L903" s="1890">
        <f t="shared" si="276"/>
        <v>0</v>
      </c>
      <c r="M903" s="1890">
        <f t="shared" si="276"/>
        <v>0</v>
      </c>
      <c r="N903" s="1890">
        <f t="shared" si="276"/>
        <v>0</v>
      </c>
      <c r="O903" s="1890">
        <f t="shared" si="276"/>
        <v>0</v>
      </c>
      <c r="P903" s="1890">
        <f t="shared" si="276"/>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4762</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4763</v>
      </c>
      <c r="D907" s="1830"/>
      <c r="E907" s="1830"/>
      <c r="F907" s="1830"/>
      <c r="G907" s="1890">
        <f t="shared" ref="G907:P907" si="277">SUM(G905:G906)</f>
        <v>0</v>
      </c>
      <c r="H907" s="1890">
        <f t="shared" si="277"/>
        <v>0</v>
      </c>
      <c r="I907" s="1890">
        <f t="shared" si="277"/>
        <v>0</v>
      </c>
      <c r="J907" s="1890">
        <f t="shared" si="277"/>
        <v>0</v>
      </c>
      <c r="K907" s="1890">
        <f t="shared" si="277"/>
        <v>0</v>
      </c>
      <c r="L907" s="1890">
        <f t="shared" si="277"/>
        <v>0</v>
      </c>
      <c r="M907" s="1890">
        <f t="shared" si="277"/>
        <v>0</v>
      </c>
      <c r="N907" s="1890">
        <f t="shared" si="277"/>
        <v>0</v>
      </c>
      <c r="O907" s="1890">
        <f t="shared" si="277"/>
        <v>0</v>
      </c>
      <c r="P907" s="1890">
        <f t="shared" si="277"/>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2302</v>
      </c>
      <c r="C909" s="1330"/>
      <c r="D909" s="1330"/>
      <c r="E909" s="1330"/>
      <c r="F909" s="1330"/>
      <c r="G909" s="1886">
        <v>31</v>
      </c>
      <c r="H909" s="1886">
        <v>32</v>
      </c>
      <c r="I909" s="1886">
        <v>33</v>
      </c>
      <c r="J909" s="1886">
        <v>34</v>
      </c>
      <c r="K909" s="1886">
        <v>35</v>
      </c>
      <c r="L909" s="1330"/>
      <c r="M909" s="1330"/>
      <c r="N909" s="1330"/>
      <c r="O909" s="1330"/>
      <c r="P909" s="1330"/>
      <c r="R909" s="1855" t="s">
        <v>2640</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4762</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4763</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1859</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2212</v>
      </c>
      <c r="F921" s="1878">
        <f>'Part VI-Revenues &amp; Expenses'!F164</f>
        <v>90000</v>
      </c>
      <c r="G921" s="1878">
        <f>'Part VI-Revenues &amp; Expenses'!G164</f>
        <v>0</v>
      </c>
      <c r="I921" s="1629" t="s">
        <v>1390</v>
      </c>
      <c r="K921" s="1878">
        <f>'Part VI-Revenues &amp; Expenses'!K164</f>
        <v>12000</v>
      </c>
      <c r="L921" s="1878">
        <f>'Part VI-Revenues &amp; Expenses'!L164</f>
        <v>0</v>
      </c>
      <c r="N921" s="1629" t="s">
        <v>938</v>
      </c>
      <c r="P921" s="1889">
        <f>'Part VI-Revenues &amp; Expenses'!P164</f>
        <v>58052</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60000</v>
      </c>
      <c r="G922" s="1878">
        <f>'Part VI-Revenues &amp; Expenses'!G165</f>
        <v>0</v>
      </c>
      <c r="I922" s="1629" t="s">
        <v>1391</v>
      </c>
      <c r="K922" s="1878">
        <f>'Part VI-Revenues &amp; Expenses'!K165</f>
        <v>0</v>
      </c>
      <c r="L922" s="1878">
        <f>'Part VI-Revenues &amp; Expenses'!L165</f>
        <v>0</v>
      </c>
      <c r="N922" s="1629" t="s">
        <v>148</v>
      </c>
      <c r="P922" s="1889">
        <f>'Part VI-Revenues &amp; Expenses'!P165</f>
        <v>22720</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30000</v>
      </c>
      <c r="G923" s="1878">
        <f>'Part VI-Revenues &amp; Expenses'!G166</f>
        <v>0</v>
      </c>
      <c r="J923" s="1895" t="s">
        <v>193</v>
      </c>
      <c r="K923" s="1878">
        <f>SUM(K921:L922)</f>
        <v>12000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Housing Service Coordinator (HHI)</v>
      </c>
      <c r="C924" s="478">
        <f>'Part VI-Revenues &amp; Expenses'!C167</f>
        <v>0</v>
      </c>
      <c r="D924" s="478">
        <f>'Part VI-Revenues &amp; Expenses'!D167</f>
        <v>0</v>
      </c>
      <c r="E924" s="478">
        <f>'Part VI-Revenues &amp; Expenses'!E167</f>
        <v>0</v>
      </c>
      <c r="F924" s="1878">
        <f>'Part VI-Revenues &amp; Expenses'!F167</f>
        <v>8238</v>
      </c>
      <c r="G924" s="1878">
        <f>'Part VI-Revenues &amp; Expenses'!G167</f>
        <v>0</v>
      </c>
      <c r="N924" s="1895" t="s">
        <v>193</v>
      </c>
      <c r="P924" s="1889">
        <f>SUM(P921:P923)</f>
        <v>80772</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188238</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48479</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2000</v>
      </c>
      <c r="G928" s="1878">
        <f>'Part VI-Revenues &amp; Expenses'!G171</f>
        <v>0</v>
      </c>
      <c r="I928" s="1629" t="s">
        <v>1614</v>
      </c>
      <c r="K928" s="1889">
        <f>'Part VI-Revenues &amp; Expenses'!K171</f>
        <v>12000</v>
      </c>
      <c r="L928" s="1889">
        <f>'Part VI-Revenues &amp; Expenses'!L171</f>
        <v>0</v>
      </c>
      <c r="N928" s="1899">
        <f>+P927/(O819*0.93)</f>
        <v>423.80452836786435</v>
      </c>
      <c r="O928" s="1900" t="s">
        <v>2774</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6600</v>
      </c>
      <c r="G929" s="1878">
        <f>'Part VI-Revenues &amp; Expenses'!G172</f>
        <v>0</v>
      </c>
      <c r="I929" s="1629" t="s">
        <v>2065</v>
      </c>
      <c r="K929" s="1889">
        <f>'Part VI-Revenues &amp; Expenses'!K172</f>
        <v>15000</v>
      </c>
      <c r="L929" s="1889">
        <f>'Part VI-Revenues &amp; Expenses'!L172</f>
        <v>0</v>
      </c>
      <c r="N929" s="1899">
        <f>+P927/(O819*0.93)/12</f>
        <v>35.31704403065536</v>
      </c>
      <c r="O929" s="1900" t="s">
        <v>2775</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1800</v>
      </c>
      <c r="G930" s="1878">
        <f>'Part VI-Revenues &amp; Expenses'!G173</f>
        <v>0</v>
      </c>
      <c r="I930" s="1629" t="s">
        <v>1615</v>
      </c>
      <c r="K930" s="1889">
        <f>'Part VI-Revenues &amp; Expenses'!K173</f>
        <v>5000</v>
      </c>
      <c r="L930" s="1889">
        <f>'Part VI-Revenues &amp; Expenses'!L173</f>
        <v>0</v>
      </c>
      <c r="N930" s="478" t="s">
        <v>3756</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2357</v>
      </c>
      <c r="D931" s="1897"/>
      <c r="F931" s="1878">
        <f>'Part VI-Revenues &amp; Expenses'!F174</f>
        <v>5000</v>
      </c>
      <c r="G931" s="1878">
        <f>'Part VI-Revenues &amp; Expenses'!G174</f>
        <v>0</v>
      </c>
      <c r="I931" s="1896">
        <f>'Part VI-Revenues &amp; Expenses'!I174</f>
        <v>0</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7000</v>
      </c>
      <c r="G932" s="1878">
        <f>'Part VI-Revenues &amp; Expenses'!G175</f>
        <v>0</v>
      </c>
      <c r="I932" s="1818"/>
      <c r="J932" s="1895" t="s">
        <v>193</v>
      </c>
      <c r="K932" s="1889">
        <f>SUM(K928:K931)</f>
        <v>32000</v>
      </c>
      <c r="L932" s="1889"/>
      <c r="M932" s="1902" t="str">
        <f>IF(P934="","",IF(P932&lt;P934, "WARNING! OE below required minimum.",""))</f>
        <v/>
      </c>
      <c r="N932" s="1818" t="s">
        <v>2202</v>
      </c>
      <c r="P932" s="1889">
        <f>F925+F934+F945+K923+K932+K942+P924+P927</f>
        <v>557889</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Disposition Fee &amp; Credit Report</v>
      </c>
      <c r="C933" s="478">
        <f>'Part VI-Revenues &amp; Expenses'!C176</f>
        <v>0</v>
      </c>
      <c r="D933" s="478">
        <f>'Part VI-Revenues &amp; Expenses'!D176</f>
        <v>0</v>
      </c>
      <c r="E933" s="478">
        <f>'Part VI-Revenues &amp; Expenses'!E176</f>
        <v>0</v>
      </c>
      <c r="F933" s="1878">
        <f>'Part VI-Revenues &amp; Expenses'!F176</f>
        <v>8000</v>
      </c>
      <c r="G933" s="1878">
        <f>'Part VI-Revenues &amp; Expenses'!G176</f>
        <v>0</v>
      </c>
      <c r="J933" s="1865"/>
      <c r="M933" s="1902"/>
      <c r="N933" s="1900" t="s">
        <v>2776</v>
      </c>
      <c r="O933" s="1899">
        <f>+P932/O819</f>
        <v>4535.6829268292686</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30400</v>
      </c>
      <c r="G934" s="1878"/>
      <c r="J934" s="1865"/>
      <c r="M934" s="1902"/>
      <c r="O934" s="1900" t="s">
        <v>3757</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2773</v>
      </c>
      <c r="N936" s="1818" t="s">
        <v>3505</v>
      </c>
      <c r="O936" s="1818"/>
      <c r="P936" s="1903">
        <f>'Part VI-Revenues &amp; Expenses'!P179</f>
        <v>43050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12000</v>
      </c>
      <c r="G937" s="1878">
        <f>'Part VI-Revenues &amp; Expenses'!G180</f>
        <v>0</v>
      </c>
      <c r="I937" s="1629" t="s">
        <v>1380</v>
      </c>
      <c r="J937" s="1691">
        <f>K937/12/O819</f>
        <v>30.487804878048781</v>
      </c>
      <c r="K937" s="1889">
        <f>'Part VI-Revenues &amp; Expenses'!K180</f>
        <v>45000</v>
      </c>
      <c r="L937" s="1889">
        <f>'Part VI-Revenues &amp; Expenses'!L180</f>
        <v>0</v>
      </c>
      <c r="M937" s="1902" t="str">
        <f>IF(P936&lt;P945, "WARNING! RR proposed is below the DCA required minimum.","")</f>
        <v/>
      </c>
      <c r="N937" s="478" t="s">
        <v>3765</v>
      </c>
      <c r="P937" s="1904">
        <f>P936/O945</f>
        <v>350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12000</v>
      </c>
      <c r="G938" s="1878">
        <f>'Part VI-Revenues &amp; Expenses'!G181</f>
        <v>0</v>
      </c>
      <c r="I938" s="1629" t="s">
        <v>1381</v>
      </c>
      <c r="J938" s="1691">
        <f>K938/12/O819</f>
        <v>0</v>
      </c>
      <c r="K938" s="1889">
        <f>'Part VI-Revenues &amp; Expenses'!K181</f>
        <v>0</v>
      </c>
      <c r="L938" s="1889">
        <f>'Part VI-Revenues &amp; Expenses'!L181</f>
        <v>0</v>
      </c>
      <c r="M938" s="1902"/>
      <c r="N938" s="1905" t="s">
        <v>3764</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10000</v>
      </c>
      <c r="G939" s="1878">
        <f>'Part VI-Revenues &amp; Expenses'!G182</f>
        <v>0</v>
      </c>
      <c r="I939" s="1629" t="s">
        <v>2368</v>
      </c>
      <c r="J939" s="1691">
        <f>K939/12/O819</f>
        <v>25.067750677506776</v>
      </c>
      <c r="K939" s="1889">
        <f>'Part VI-Revenues &amp; Expenses'!K182</f>
        <v>37000</v>
      </c>
      <c r="L939" s="1889">
        <f>'Part VI-Revenues &amp; Expenses'!L182</f>
        <v>0</v>
      </c>
      <c r="M939" s="1902"/>
      <c r="N939" s="1906" t="s">
        <v>2732</v>
      </c>
      <c r="O939" s="1907" t="s">
        <v>3878</v>
      </c>
      <c r="P939" s="1907" t="s">
        <v>3460</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5000</v>
      </c>
      <c r="G940" s="1878">
        <f>'Part VI-Revenues &amp; Expenses'!G183</f>
        <v>0</v>
      </c>
      <c r="I940" s="1629" t="s">
        <v>1383</v>
      </c>
      <c r="K940" s="1889">
        <f>'Part VI-Revenues &amp; Expenses'!K183</f>
        <v>25000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5000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3452</v>
      </c>
      <c r="O941" s="1909" t="str">
        <f>CONCATENATE(SUM(JC805:JG805)," units x $",'DCA Underwriting Assumptions'!$Q$65," =")</f>
        <v>123 units x $350 =</v>
      </c>
      <c r="P941" s="1909">
        <f>SUM(JC805:JG805)*'DCA Underwriting Assumptions'!$Q$65</f>
        <v>43050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5000</v>
      </c>
      <c r="G942" s="1878">
        <f>'Part VI-Revenues &amp; Expenses'!G185</f>
        <v>0</v>
      </c>
      <c r="J942" s="1895" t="s">
        <v>193</v>
      </c>
      <c r="K942" s="1889">
        <f>SUM(K937:K941)</f>
        <v>107000</v>
      </c>
      <c r="L942" s="1889"/>
      <c r="M942" s="1902"/>
      <c r="N942" s="1631" t="s">
        <v>3451</v>
      </c>
      <c r="O942" s="1909" t="str">
        <f>CONCATENATE(SUM(JH805:JL805)," units x $",'DCA Underwriting Assumptions'!$Q$66," =")</f>
        <v>0 units x $250 =</v>
      </c>
      <c r="P942" s="1909">
        <f>SUM(JH805:JL805)*'DCA Underwriting Assumptions'!$Q$66</f>
        <v>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10000</v>
      </c>
      <c r="G943" s="1878">
        <f>'Part VI-Revenues &amp; Expenses'!G186</f>
        <v>0</v>
      </c>
      <c r="J943" s="1865"/>
      <c r="M943" s="1902"/>
      <c r="N943" s="1748" t="s">
        <v>3455</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3450</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59000</v>
      </c>
      <c r="G945" s="1878"/>
      <c r="J945" s="1865"/>
      <c r="N945" s="1858" t="s">
        <v>2735</v>
      </c>
      <c r="O945" s="1852">
        <f>SUM(JC805:JG805)+SUM(JH805:JL805)+SUM(JM805:JQ805)+O841</f>
        <v>123</v>
      </c>
      <c r="P945" s="1910">
        <f>SUM(P941:P944)</f>
        <v>43050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2203</v>
      </c>
      <c r="P947" s="1889">
        <f>P932+P936</f>
        <v>600939</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4156</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4155</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2018-017 Heritage Village at West Lake,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4764</v>
      </c>
    </row>
    <row r="961" spans="1:19" ht="12.75" customHeight="1">
      <c r="A961" s="683" t="s">
        <v>2204</v>
      </c>
      <c r="B961" s="1911">
        <v>0.02</v>
      </c>
      <c r="D961" s="1775" t="s">
        <v>4765</v>
      </c>
      <c r="E961" s="1775"/>
      <c r="F961" s="1775"/>
      <c r="G961" s="1912">
        <f>'Part VII-Pro Forma'!G5</f>
        <v>8250</v>
      </c>
      <c r="H961" s="1874" t="s">
        <v>1922</v>
      </c>
      <c r="K961" s="1913" t="e">
        <f>IF(($B$14+$B$15+$B$16+$B$17)=0,"",B984/($B$14+$B$15+$B$16+$B$17))</f>
        <v>#VALUE!</v>
      </c>
    </row>
    <row r="962" spans="1:19">
      <c r="A962" s="683" t="s">
        <v>2205</v>
      </c>
      <c r="B962" s="1911">
        <v>0.03</v>
      </c>
      <c r="D962" s="1775"/>
      <c r="E962" s="1775"/>
      <c r="F962" s="1775"/>
      <c r="G962" s="1914">
        <f>IF(OR('Part III-Sources of Funds'!B967="Yes",'Part III-Sources of Funds'!E967&gt;0),'DCA Underwriting Assumptions'!$Q$95,0)</f>
        <v>0</v>
      </c>
    </row>
    <row r="963" spans="1:19">
      <c r="A963" s="683" t="s">
        <v>2207</v>
      </c>
      <c r="B963" s="1911">
        <v>0.03</v>
      </c>
      <c r="D963" s="1629" t="s">
        <v>272</v>
      </c>
      <c r="G963" s="1915"/>
      <c r="H963" s="1874" t="s">
        <v>2390</v>
      </c>
      <c r="K963" s="1913" t="e">
        <f>IF(($B$14+$B$15+$B$16+$B$17)=0,"",-B976/($B$14+$B$15+$B$16+$B$17))</f>
        <v>#VALUE!</v>
      </c>
    </row>
    <row r="964" spans="1:19">
      <c r="A964" s="683" t="s">
        <v>2206</v>
      </c>
      <c r="B964" s="1911">
        <f>'Part VII-Pro Forma'!B8</f>
        <v>7.0000000000000007E-2</v>
      </c>
      <c r="D964" s="1629" t="s">
        <v>2525</v>
      </c>
      <c r="G964" s="1916">
        <f>'Part VII-Pro Forma'!G8</f>
        <v>0</v>
      </c>
      <c r="H964" s="1917" t="s">
        <v>1456</v>
      </c>
      <c r="K964" s="1918">
        <f>'Part VII-Pro Forma'!K8</f>
        <v>0</v>
      </c>
    </row>
    <row r="965" spans="1:19">
      <c r="A965" s="683" t="s">
        <v>1430</v>
      </c>
      <c r="B965" s="1911">
        <v>0.02</v>
      </c>
      <c r="D965" s="1629" t="s">
        <v>1731</v>
      </c>
      <c r="G965" s="1916" t="str">
        <f>'Part VII-Pro Forma'!G9</f>
        <v>Yes</v>
      </c>
      <c r="H965" s="1917" t="s">
        <v>2372</v>
      </c>
      <c r="K965" s="1919">
        <f>'Part VII-Pro Forma'!K9</f>
        <v>0.06</v>
      </c>
    </row>
    <row r="967" spans="1:19">
      <c r="A967" s="1821" t="s">
        <v>92</v>
      </c>
      <c r="D967" s="1819"/>
    </row>
    <row r="969" spans="1:19">
      <c r="A969" s="1821" t="s">
        <v>2496</v>
      </c>
      <c r="B969" s="1821">
        <v>1</v>
      </c>
      <c r="C969" s="1821">
        <f t="shared" ref="C969:K969" si="278">B969+1</f>
        <v>2</v>
      </c>
      <c r="D969" s="1821">
        <f t="shared" si="278"/>
        <v>3</v>
      </c>
      <c r="E969" s="1821">
        <f t="shared" si="278"/>
        <v>4</v>
      </c>
      <c r="F969" s="1821">
        <f t="shared" si="278"/>
        <v>5</v>
      </c>
      <c r="G969" s="1821">
        <f t="shared" si="278"/>
        <v>6</v>
      </c>
      <c r="H969" s="1821">
        <f t="shared" si="278"/>
        <v>7</v>
      </c>
      <c r="I969" s="1821">
        <f t="shared" si="278"/>
        <v>8</v>
      </c>
      <c r="J969" s="1821">
        <f t="shared" si="278"/>
        <v>9</v>
      </c>
      <c r="K969" s="1821">
        <f t="shared" si="278"/>
        <v>10</v>
      </c>
    </row>
    <row r="970" spans="1:19">
      <c r="A970" s="683" t="s">
        <v>2420</v>
      </c>
      <c r="B970" s="1920">
        <f>'Part VI-Revenues &amp; Expenses'!$L$49</f>
        <v>851761.79999999993</v>
      </c>
      <c r="C970" s="1920">
        <f t="shared" ref="C970:K970" si="279">$B$14*(1+$B$5)^(C969-1)</f>
        <v>0</v>
      </c>
      <c r="D970" s="1920">
        <f t="shared" si="279"/>
        <v>0</v>
      </c>
      <c r="E970" s="1920">
        <f t="shared" si="279"/>
        <v>0</v>
      </c>
      <c r="F970" s="1920">
        <f t="shared" si="279"/>
        <v>0</v>
      </c>
      <c r="G970" s="1920">
        <f t="shared" si="279"/>
        <v>0</v>
      </c>
      <c r="H970" s="1920">
        <f t="shared" si="279"/>
        <v>0</v>
      </c>
      <c r="I970" s="1920">
        <f t="shared" si="279"/>
        <v>0</v>
      </c>
      <c r="J970" s="1920">
        <f t="shared" si="279"/>
        <v>0</v>
      </c>
      <c r="K970" s="1920">
        <f t="shared" si="279"/>
        <v>0</v>
      </c>
      <c r="S970" s="683" t="s">
        <v>4239</v>
      </c>
    </row>
    <row r="971" spans="1:19">
      <c r="A971" s="683" t="s">
        <v>1026</v>
      </c>
      <c r="B971" s="1920">
        <f>MIN(B970*B965,'Part VI-Revenues &amp; Expenses'!$H$122)</f>
        <v>17035.235999999997</v>
      </c>
      <c r="C971" s="1920">
        <f t="shared" ref="C971:K971" si="280">$B$15*(1+$B$5)^(C969-1)</f>
        <v>0</v>
      </c>
      <c r="D971" s="1920">
        <f t="shared" si="280"/>
        <v>0</v>
      </c>
      <c r="E971" s="1920">
        <f t="shared" si="280"/>
        <v>0</v>
      </c>
      <c r="F971" s="1920">
        <f t="shared" si="280"/>
        <v>0</v>
      </c>
      <c r="G971" s="1920">
        <f t="shared" si="280"/>
        <v>0</v>
      </c>
      <c r="H971" s="1920">
        <f t="shared" si="280"/>
        <v>0</v>
      </c>
      <c r="I971" s="1920">
        <f t="shared" si="280"/>
        <v>0</v>
      </c>
      <c r="J971" s="1920">
        <f t="shared" si="280"/>
        <v>0</v>
      </c>
      <c r="K971" s="1920">
        <f t="shared" si="280"/>
        <v>0</v>
      </c>
    </row>
    <row r="972" spans="1:19">
      <c r="A972" s="683" t="s">
        <v>2421</v>
      </c>
      <c r="B972" s="1920">
        <f t="shared" ref="B972:K972" si="281">-(B970+B971)*$B$8</f>
        <v>0</v>
      </c>
      <c r="C972" s="1920">
        <f t="shared" si="281"/>
        <v>0</v>
      </c>
      <c r="D972" s="1920">
        <f t="shared" si="281"/>
        <v>0</v>
      </c>
      <c r="E972" s="1920">
        <f t="shared" si="281"/>
        <v>0</v>
      </c>
      <c r="F972" s="1920">
        <f t="shared" si="281"/>
        <v>0</v>
      </c>
      <c r="G972" s="1920">
        <f t="shared" si="281"/>
        <v>0</v>
      </c>
      <c r="H972" s="1920">
        <f t="shared" si="281"/>
        <v>0</v>
      </c>
      <c r="I972" s="1920">
        <f t="shared" si="281"/>
        <v>0</v>
      </c>
      <c r="J972" s="1920">
        <f t="shared" si="281"/>
        <v>0</v>
      </c>
      <c r="K972" s="1920">
        <f t="shared" si="281"/>
        <v>0</v>
      </c>
      <c r="Q972" s="683" t="s">
        <v>3914</v>
      </c>
      <c r="R972" s="683" t="s">
        <v>4238</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-509410</v>
      </c>
      <c r="C975" s="1920">
        <f t="shared" ref="C975:K975" si="282">$B$19*(1+$B$6)^(C969-1)</f>
        <v>0</v>
      </c>
      <c r="D975" s="1920">
        <f t="shared" si="282"/>
        <v>0</v>
      </c>
      <c r="E975" s="1920">
        <f t="shared" si="282"/>
        <v>0</v>
      </c>
      <c r="F975" s="1920">
        <f t="shared" si="282"/>
        <v>0</v>
      </c>
      <c r="G975" s="1920">
        <f t="shared" si="282"/>
        <v>0</v>
      </c>
      <c r="H975" s="1920">
        <f t="shared" si="282"/>
        <v>0</v>
      </c>
      <c r="I975" s="1920">
        <f t="shared" si="282"/>
        <v>0</v>
      </c>
      <c r="J975" s="1920">
        <f t="shared" si="282"/>
        <v>0</v>
      </c>
      <c r="K975" s="1920">
        <f t="shared" si="282"/>
        <v>0</v>
      </c>
      <c r="Q975" s="683">
        <v>1</v>
      </c>
      <c r="R975" s="683">
        <v>1522</v>
      </c>
      <c r="S975" s="683">
        <v>88417.60981012875</v>
      </c>
    </row>
    <row r="976" spans="1:19">
      <c r="A976" s="683" t="s">
        <v>1125</v>
      </c>
      <c r="B976" s="1920">
        <f>IF(AND('Part VII-Pro Forma'!$G$8="Yes",'Part VII-Pro Forma'!$G$9="Yes"),"Choose One!",IF('Part VII-Pro Forma'!$G$8="Yes",ROUND((-$K$8*(1+'Part VII-Pro Forma'!$B$6)^('Part VII-Pro Forma'!B969-1)),),IF('Part VII-Pro Forma'!$G$9="Yes",ROUND((-(SUM(B970:B973)*'Part VII-Pro Forma'!$K$9)),),"Choose mgt fee")))</f>
        <v>-52128</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1522</v>
      </c>
      <c r="S976" s="683">
        <v>175227.04448985739</v>
      </c>
    </row>
    <row r="977" spans="1:19">
      <c r="A977" s="683" t="s">
        <v>1214</v>
      </c>
      <c r="B977" s="1920">
        <f>-('Part VI-Revenues &amp; Expenses'!$P$179)</f>
        <v>-43050</v>
      </c>
      <c r="C977" s="1920">
        <f t="shared" ref="C977:K977" si="283">$B$21*(1+$B$7)^(C969-1)</f>
        <v>0</v>
      </c>
      <c r="D977" s="1920">
        <f t="shared" si="283"/>
        <v>0</v>
      </c>
      <c r="E977" s="1920">
        <f t="shared" si="283"/>
        <v>0</v>
      </c>
      <c r="F977" s="1920">
        <f t="shared" si="283"/>
        <v>0</v>
      </c>
      <c r="G977" s="1920">
        <f t="shared" si="283"/>
        <v>0</v>
      </c>
      <c r="H977" s="1920">
        <f t="shared" si="283"/>
        <v>0</v>
      </c>
      <c r="I977" s="1920">
        <f t="shared" si="283"/>
        <v>0</v>
      </c>
      <c r="J977" s="1920">
        <f t="shared" si="283"/>
        <v>0</v>
      </c>
      <c r="K977" s="1920">
        <f t="shared" si="283"/>
        <v>0</v>
      </c>
      <c r="Q977" s="683">
        <v>3</v>
      </c>
      <c r="R977" s="683">
        <v>1522</v>
      </c>
      <c r="S977" s="683">
        <v>260227.53253657807</v>
      </c>
    </row>
    <row r="978" spans="1:19">
      <c r="A978" s="683" t="s">
        <v>1215</v>
      </c>
      <c r="B978" s="1920">
        <f t="shared" ref="B978:K978" si="284">SUM(B970:B977)</f>
        <v>264209.03599999996</v>
      </c>
      <c r="C978" s="1920">
        <f t="shared" si="284"/>
        <v>0</v>
      </c>
      <c r="D978" s="1920">
        <f t="shared" si="284"/>
        <v>0</v>
      </c>
      <c r="E978" s="1920">
        <f t="shared" si="284"/>
        <v>0</v>
      </c>
      <c r="F978" s="1920">
        <f t="shared" si="284"/>
        <v>0</v>
      </c>
      <c r="G978" s="1920">
        <f t="shared" si="284"/>
        <v>0</v>
      </c>
      <c r="H978" s="1920">
        <f t="shared" si="284"/>
        <v>0</v>
      </c>
      <c r="I978" s="1920">
        <f t="shared" si="284"/>
        <v>0</v>
      </c>
      <c r="J978" s="1920">
        <f t="shared" si="284"/>
        <v>0</v>
      </c>
      <c r="K978" s="1920">
        <f t="shared" si="284"/>
        <v>0</v>
      </c>
      <c r="Q978" s="683">
        <v>4</v>
      </c>
      <c r="R978" s="683">
        <v>1522</v>
      </c>
      <c r="S978" s="683">
        <v>343209.64737763046</v>
      </c>
    </row>
    <row r="979" spans="1:19">
      <c r="A979" s="683" t="s">
        <v>1603</v>
      </c>
      <c r="B979" s="1920">
        <f>'Part VII-Pro Forma'!B23</f>
        <v>-110374.6336698712</v>
      </c>
      <c r="C979" s="1920">
        <f>'Part VII-Pro Forma'!C23</f>
        <v>-110374.6336698712</v>
      </c>
      <c r="D979" s="1920">
        <f>'Part VII-Pro Forma'!D23</f>
        <v>-110374.6336698712</v>
      </c>
      <c r="E979" s="1920">
        <f>'Part VII-Pro Forma'!E23</f>
        <v>-110374.6336698712</v>
      </c>
      <c r="F979" s="1920">
        <f>'Part VII-Pro Forma'!F23</f>
        <v>-110374.6336698712</v>
      </c>
      <c r="G979" s="1920">
        <f>'Part VII-Pro Forma'!G23</f>
        <v>-110374.6336698712</v>
      </c>
      <c r="H979" s="1920">
        <f>'Part VII-Pro Forma'!H23</f>
        <v>-110374.6336698712</v>
      </c>
      <c r="I979" s="1920">
        <f>'Part VII-Pro Forma'!I23</f>
        <v>-110374.6336698712</v>
      </c>
      <c r="J979" s="1920">
        <f>'Part VII-Pro Forma'!J23</f>
        <v>-110374.6336698712</v>
      </c>
      <c r="K979" s="1920">
        <f>'Part VII-Pro Forma'!K23</f>
        <v>-110374.6336698712</v>
      </c>
      <c r="Q979" s="683">
        <v>5</v>
      </c>
      <c r="R979" s="683">
        <v>1522</v>
      </c>
      <c r="S979" s="683">
        <v>423954.98307970166</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1522</v>
      </c>
      <c r="S980" s="683">
        <v>502234.8190367358</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1522</v>
      </c>
      <c r="S981" s="683">
        <v>577811.77327985759</v>
      </c>
    </row>
    <row r="982" spans="1:19">
      <c r="A982" s="683" t="s">
        <v>3881</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1522</v>
      </c>
      <c r="S982" s="683">
        <v>650436.44404159521</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1522</v>
      </c>
      <c r="S983" s="683">
        <v>719849.03919513221</v>
      </c>
    </row>
    <row r="984" spans="1:19">
      <c r="A984" s="683" t="s">
        <v>1174</v>
      </c>
      <c r="B984" s="1920">
        <f>'Part VII-Pro Forma'!B28</f>
        <v>-8250</v>
      </c>
      <c r="C984" s="1920">
        <f>'Part VII-Pro Forma'!C28</f>
        <v>-8475</v>
      </c>
      <c r="D984" s="1920">
        <f>'Part VII-Pro Forma'!D28</f>
        <v>-8706.75</v>
      </c>
      <c r="E984" s="1920">
        <f>'Part VII-Pro Forma'!E28</f>
        <v>-8945.4524999999994</v>
      </c>
      <c r="F984" s="1920">
        <f>'Part VII-Pro Forma'!F28</f>
        <v>-9191.3160750000006</v>
      </c>
      <c r="G984" s="1920">
        <f>'Part VII-Pro Forma'!G28</f>
        <v>-9444.5555572499998</v>
      </c>
      <c r="H984" s="1920">
        <f>'Part VII-Pro Forma'!H28</f>
        <v>-9705.3922239674994</v>
      </c>
      <c r="I984" s="1920">
        <f>'Part VII-Pro Forma'!I28</f>
        <v>-9974.0539906865306</v>
      </c>
      <c r="J984" s="1920">
        <f>'Part VII-Pro Forma'!J28</f>
        <v>-10250.77561040712</v>
      </c>
      <c r="K984" s="1920">
        <f>'Part VII-Pro Forma'!K28</f>
        <v>-10535.798878719341</v>
      </c>
      <c r="Q984" s="683">
        <v>10</v>
      </c>
      <c r="R984" s="683">
        <v>1522</v>
      </c>
      <c r="S984" s="683">
        <v>785778.99317739904</v>
      </c>
    </row>
    <row r="985" spans="1:19">
      <c r="A985" s="683" t="s">
        <v>4129</v>
      </c>
      <c r="B985" s="1920">
        <f>'Part VII-Pro Forma'!B29</f>
        <v>-1522</v>
      </c>
      <c r="C985" s="1920">
        <f>'Part VII-Pro Forma'!C29</f>
        <v>0</v>
      </c>
      <c r="D985" s="1920">
        <f>'Part VII-Pro Forma'!D29</f>
        <v>0</v>
      </c>
      <c r="E985" s="1920">
        <f>'Part VII-Pro Forma'!E29</f>
        <v>0</v>
      </c>
      <c r="F985" s="1920">
        <f>'Part VII-Pro Forma'!F29</f>
        <v>0</v>
      </c>
      <c r="G985" s="1920">
        <f>'Part VII-Pro Forma'!G29</f>
        <v>0</v>
      </c>
      <c r="H985" s="1920">
        <f>'Part VII-Pro Forma'!H29</f>
        <v>0</v>
      </c>
      <c r="I985" s="1920">
        <f>'Part VII-Pro Forma'!I29</f>
        <v>0</v>
      </c>
      <c r="J985" s="1920">
        <f>'Part VII-Pro Forma'!J29</f>
        <v>0</v>
      </c>
      <c r="K985" s="1920">
        <f>'Part VII-Pro Forma'!K29</f>
        <v>0</v>
      </c>
      <c r="Q985" s="683">
        <v>11</v>
      </c>
      <c r="R985" s="683">
        <v>1522</v>
      </c>
      <c r="S985" s="683">
        <v>847944.57099253871</v>
      </c>
    </row>
    <row r="986" spans="1:19">
      <c r="A986" s="683" t="s">
        <v>1175</v>
      </c>
      <c r="B986" s="1920">
        <f>SUM(B978:B985)</f>
        <v>144062.40233012877</v>
      </c>
      <c r="C986" s="1920">
        <f t="shared" ref="C986:K986" si="285">SUM(C978:C985)</f>
        <v>-118849.6336698712</v>
      </c>
      <c r="D986" s="1920">
        <f t="shared" si="285"/>
        <v>-119081.3836698712</v>
      </c>
      <c r="E986" s="1920">
        <f t="shared" si="285"/>
        <v>-119320.0861698712</v>
      </c>
      <c r="F986" s="1920">
        <f t="shared" si="285"/>
        <v>-119565.94974487119</v>
      </c>
      <c r="G986" s="1920">
        <f t="shared" si="285"/>
        <v>-119819.1892271212</v>
      </c>
      <c r="H986" s="1920">
        <f t="shared" si="285"/>
        <v>-120080.0258938387</v>
      </c>
      <c r="I986" s="1920">
        <f t="shared" si="285"/>
        <v>-120348.68766055773</v>
      </c>
      <c r="J986" s="1920">
        <f t="shared" si="285"/>
        <v>-120625.40928027831</v>
      </c>
      <c r="K986" s="1920">
        <f t="shared" si="285"/>
        <v>-120910.43254859054</v>
      </c>
      <c r="Q986" s="683">
        <v>12</v>
      </c>
      <c r="R986" s="683">
        <v>1522</v>
      </c>
      <c r="S986" s="683">
        <v>906050.45887960296</v>
      </c>
    </row>
    <row r="987" spans="1:19">
      <c r="A987" s="683" t="str">
        <f>IF('Part III-Sources of Funds'!$E$37 = "Neither", "", "DCR Mortgage A")</f>
        <v>DCR Mortgage A</v>
      </c>
      <c r="B987" s="1921">
        <f t="shared" ref="B987:K987" si="286">IF(B979=0,"",-B978/B979)</f>
        <v>2.3937477952610475</v>
      </c>
      <c r="C987" s="1921">
        <f t="shared" si="286"/>
        <v>0</v>
      </c>
      <c r="D987" s="1921">
        <f t="shared" si="286"/>
        <v>0</v>
      </c>
      <c r="E987" s="1921">
        <f t="shared" si="286"/>
        <v>0</v>
      </c>
      <c r="F987" s="1921">
        <f t="shared" si="286"/>
        <v>0</v>
      </c>
      <c r="G987" s="1921">
        <f t="shared" si="286"/>
        <v>0</v>
      </c>
      <c r="H987" s="1921">
        <f t="shared" si="286"/>
        <v>0</v>
      </c>
      <c r="I987" s="1921">
        <f t="shared" si="286"/>
        <v>0</v>
      </c>
      <c r="J987" s="1921">
        <f t="shared" si="286"/>
        <v>0</v>
      </c>
      <c r="K987" s="1921">
        <f t="shared" si="286"/>
        <v>0</v>
      </c>
      <c r="Q987" s="683">
        <v>13</v>
      </c>
      <c r="R987" s="683">
        <v>1522</v>
      </c>
      <c r="S987" s="683">
        <v>959789.34121529758</v>
      </c>
    </row>
    <row r="988" spans="1:19">
      <c r="A988" s="683" t="str">
        <f>IF('Part III-Sources of Funds'!$E$37 = "Neither", "", "DCR Mortgage B")</f>
        <v>DCR Mortgage B</v>
      </c>
      <c r="B988" s="1921" t="str">
        <f t="shared" ref="B988:K988" si="287">IF(B980=0,"",-(B978+B979)/B980)</f>
        <v/>
      </c>
      <c r="C988" s="1921" t="str">
        <f t="shared" si="287"/>
        <v/>
      </c>
      <c r="D988" s="1921" t="str">
        <f t="shared" si="287"/>
        <v/>
      </c>
      <c r="E988" s="1921" t="str">
        <f t="shared" si="287"/>
        <v/>
      </c>
      <c r="F988" s="1921" t="str">
        <f t="shared" si="287"/>
        <v/>
      </c>
      <c r="G988" s="1921" t="str">
        <f t="shared" si="287"/>
        <v/>
      </c>
      <c r="H988" s="1921" t="str">
        <f t="shared" si="287"/>
        <v/>
      </c>
      <c r="I988" s="1921" t="str">
        <f t="shared" si="287"/>
        <v/>
      </c>
      <c r="J988" s="1921" t="str">
        <f t="shared" si="287"/>
        <v/>
      </c>
      <c r="K988" s="1921" t="str">
        <f t="shared" si="287"/>
        <v/>
      </c>
      <c r="Q988" s="683">
        <v>14</v>
      </c>
      <c r="R988" s="683">
        <v>1522</v>
      </c>
      <c r="S988" s="683">
        <v>1008841.4632091195</v>
      </c>
    </row>
    <row r="989" spans="1:19">
      <c r="A989" s="683" t="str">
        <f>IF('Part III-Sources of Funds'!$E$37 = "Neither", "DCR First Mortgage", "DCR Mortgage C")</f>
        <v>DCR Mortgage C</v>
      </c>
      <c r="B989" s="1921" t="str">
        <f t="shared" ref="B989:K989" si="288">IF(B981=0,"",-(B978+B979+B980)/B981)</f>
        <v/>
      </c>
      <c r="C989" s="1921" t="str">
        <f t="shared" si="288"/>
        <v/>
      </c>
      <c r="D989" s="1921" t="str">
        <f t="shared" si="288"/>
        <v/>
      </c>
      <c r="E989" s="1921" t="str">
        <f t="shared" si="288"/>
        <v/>
      </c>
      <c r="F989" s="1921" t="str">
        <f t="shared" si="288"/>
        <v/>
      </c>
      <c r="G989" s="1921" t="str">
        <f t="shared" si="288"/>
        <v/>
      </c>
      <c r="H989" s="1921" t="str">
        <f t="shared" si="288"/>
        <v/>
      </c>
      <c r="I989" s="1921" t="str">
        <f t="shared" si="288"/>
        <v/>
      </c>
      <c r="J989" s="1921" t="str">
        <f t="shared" si="288"/>
        <v/>
      </c>
      <c r="K989" s="1921" t="str">
        <f t="shared" si="288"/>
        <v/>
      </c>
      <c r="Q989" s="683">
        <v>15</v>
      </c>
      <c r="R989" s="683">
        <v>1522</v>
      </c>
      <c r="S989" s="683">
        <v>1052874.178934372</v>
      </c>
    </row>
    <row r="990" spans="1:19">
      <c r="A990" s="683" t="s">
        <v>791</v>
      </c>
      <c r="B990" s="1921" t="str">
        <f t="shared" ref="B990:K990" si="289">IF(B982=0,"",-(B978+B979+B980+B981)/B982)</f>
        <v/>
      </c>
      <c r="C990" s="1921" t="str">
        <f t="shared" si="289"/>
        <v/>
      </c>
      <c r="D990" s="1921" t="str">
        <f t="shared" si="289"/>
        <v/>
      </c>
      <c r="E990" s="1921" t="str">
        <f t="shared" si="289"/>
        <v/>
      </c>
      <c r="F990" s="1921" t="str">
        <f t="shared" si="289"/>
        <v/>
      </c>
      <c r="G990" s="1921" t="str">
        <f t="shared" si="289"/>
        <v/>
      </c>
      <c r="H990" s="1921" t="str">
        <f t="shared" si="289"/>
        <v/>
      </c>
      <c r="I990" s="1921" t="str">
        <f t="shared" si="289"/>
        <v/>
      </c>
      <c r="J990" s="1921" t="str">
        <f t="shared" si="289"/>
        <v/>
      </c>
      <c r="K990" s="1921" t="str">
        <f t="shared" si="289"/>
        <v/>
      </c>
      <c r="Q990" s="683">
        <v>16</v>
      </c>
      <c r="R990" s="683">
        <v>1522</v>
      </c>
      <c r="S990" s="683">
        <v>1103225.2398487336</v>
      </c>
    </row>
    <row r="991" spans="1:19">
      <c r="A991" s="683" t="s">
        <v>3739</v>
      </c>
      <c r="B991" s="1921">
        <f t="shared" ref="B991:K991" si="290">IF(AND(B979=0,B980=0,B981=0,B982=0),"",-B978/(B979+B980+B981+B982))</f>
        <v>2.3937477952610475</v>
      </c>
      <c r="C991" s="1921">
        <f t="shared" si="290"/>
        <v>0</v>
      </c>
      <c r="D991" s="1921">
        <f t="shared" si="290"/>
        <v>0</v>
      </c>
      <c r="E991" s="1921">
        <f t="shared" si="290"/>
        <v>0</v>
      </c>
      <c r="F991" s="1921">
        <f t="shared" si="290"/>
        <v>0</v>
      </c>
      <c r="G991" s="1921">
        <f t="shared" si="290"/>
        <v>0</v>
      </c>
      <c r="H991" s="1921">
        <f t="shared" si="290"/>
        <v>0</v>
      </c>
      <c r="I991" s="1921">
        <f t="shared" si="290"/>
        <v>0</v>
      </c>
      <c r="J991" s="1921">
        <f t="shared" si="290"/>
        <v>0</v>
      </c>
      <c r="K991" s="1921">
        <f t="shared" si="290"/>
        <v>0</v>
      </c>
      <c r="Q991" s="683">
        <v>17</v>
      </c>
      <c r="R991" s="683">
        <v>1522</v>
      </c>
      <c r="S991" s="683">
        <v>1148198.5878650276</v>
      </c>
    </row>
    <row r="992" spans="1:19">
      <c r="A992" s="683" t="s">
        <v>778</v>
      </c>
      <c r="B992" s="1922">
        <f t="shared" ref="B992:K992" si="291">IF(OR(B976="Choose mgt fee",B976="Choose One!"),"",(B970+B971+B972+B973+B974) / -(B975+B976+B977))</f>
        <v>1.4370067483972555</v>
      </c>
      <c r="C992" s="1922" t="e">
        <f t="shared" si="291"/>
        <v>#DIV/0!</v>
      </c>
      <c r="D992" s="1922" t="e">
        <f t="shared" si="291"/>
        <v>#DIV/0!</v>
      </c>
      <c r="E992" s="1922" t="e">
        <f t="shared" si="291"/>
        <v>#DIV/0!</v>
      </c>
      <c r="F992" s="1922" t="e">
        <f t="shared" si="291"/>
        <v>#DIV/0!</v>
      </c>
      <c r="G992" s="1922" t="e">
        <f t="shared" si="291"/>
        <v>#DIV/0!</v>
      </c>
      <c r="H992" s="1922" t="e">
        <f t="shared" si="291"/>
        <v>#DIV/0!</v>
      </c>
      <c r="I992" s="1922" t="e">
        <f t="shared" si="291"/>
        <v>#DIV/0!</v>
      </c>
      <c r="J992" s="1922" t="e">
        <f t="shared" si="291"/>
        <v>#DIV/0!</v>
      </c>
      <c r="K992" s="1922" t="e">
        <f t="shared" si="291"/>
        <v>#DIV/0!</v>
      </c>
      <c r="Q992" s="683">
        <v>18</v>
      </c>
      <c r="R992" s="683">
        <v>1522</v>
      </c>
      <c r="S992" s="683">
        <v>1187428.5543216001</v>
      </c>
    </row>
    <row r="993" spans="1:19">
      <c r="A993" s="683" t="s">
        <v>2634</v>
      </c>
      <c r="B993" s="1920">
        <f>'Part VII-Pro Forma'!B37</f>
        <v>1909209.99649592</v>
      </c>
      <c r="C993" s="1920">
        <f>'Part VII-Pro Forma'!C37</f>
        <v>1817507.9201676911</v>
      </c>
      <c r="D993" s="1920">
        <f>'Part VII-Pro Forma'!D37</f>
        <v>1724884.6083673956</v>
      </c>
      <c r="E993" s="1920">
        <f>'Part VII-Pro Forma'!E37</f>
        <v>1631330.8063995133</v>
      </c>
      <c r="F993" s="1920">
        <f>'Part VII-Pro Forma'!F37</f>
        <v>1536837.1665962145</v>
      </c>
      <c r="G993" s="1920">
        <f>'Part VII-Pro Forma'!G37</f>
        <v>1441394.2473833645</v>
      </c>
      <c r="H993" s="1920">
        <f>'Part VII-Pro Forma'!H37</f>
        <v>1344992.5123371438</v>
      </c>
      <c r="I993" s="1920">
        <f>'Part VII-Pro Forma'!I37</f>
        <v>1247622.3292311924</v>
      </c>
      <c r="J993" s="1920">
        <f>'Part VII-Pro Forma'!J37</f>
        <v>1149273.969074181</v>
      </c>
      <c r="K993" s="1920">
        <f>'Part VII-Pro Forma'!K37</f>
        <v>1049937.605137714</v>
      </c>
      <c r="Q993" s="683">
        <v>19</v>
      </c>
      <c r="R993" s="683">
        <v>1522</v>
      </c>
      <c r="S993" s="683">
        <v>1220533.9307514525</v>
      </c>
    </row>
    <row r="994" spans="1:19">
      <c r="A994" s="683" t="s">
        <v>2635</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1522</v>
      </c>
      <c r="S994" s="683">
        <v>1247118.4456931734</v>
      </c>
    </row>
    <row r="995" spans="1:19">
      <c r="A995" s="683" t="s">
        <v>2636</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4130</v>
      </c>
      <c r="B997" s="1920">
        <f>'Part VII-Pro Forma'!B41</f>
        <v>0</v>
      </c>
      <c r="C997" s="1920">
        <f>'Part VII-Pro Forma'!C41</f>
        <v>0</v>
      </c>
      <c r="D997" s="1920">
        <f>'Part VII-Pro Forma'!D41</f>
        <v>0</v>
      </c>
      <c r="E997" s="1920">
        <f>'Part VII-Pro Forma'!E41</f>
        <v>0</v>
      </c>
      <c r="F997" s="1920">
        <f>'Part VII-Pro Forma'!F41</f>
        <v>0</v>
      </c>
      <c r="G997" s="1920">
        <f>'Part VII-Pro Forma'!G41</f>
        <v>0</v>
      </c>
      <c r="H997" s="1920">
        <f>'Part VII-Pro Forma'!H41</f>
        <v>0</v>
      </c>
      <c r="I997" s="1920">
        <f>'Part VII-Pro Forma'!I41</f>
        <v>0</v>
      </c>
      <c r="J997" s="1920">
        <f>'Part VII-Pro Forma'!J41</f>
        <v>0</v>
      </c>
      <c r="K997" s="1920">
        <f>'Part VII-Pro Forma'!K41</f>
        <v>0</v>
      </c>
    </row>
    <row r="998" spans="1:19">
      <c r="B998" s="1920"/>
      <c r="C998" s="1920"/>
      <c r="D998" s="1920"/>
      <c r="E998" s="1920"/>
      <c r="F998" s="1920"/>
      <c r="G998" s="1920"/>
      <c r="H998" s="1920"/>
      <c r="I998" s="1920"/>
      <c r="J998" s="1920"/>
      <c r="K998" s="1920"/>
    </row>
    <row r="999" spans="1:19">
      <c r="A999" s="1821" t="s">
        <v>2496</v>
      </c>
      <c r="B999" s="1923">
        <f>K969+1</f>
        <v>11</v>
      </c>
      <c r="C999" s="1923">
        <f t="shared" ref="C999:K999" si="292">B999+1</f>
        <v>12</v>
      </c>
      <c r="D999" s="1923">
        <f t="shared" si="292"/>
        <v>13</v>
      </c>
      <c r="E999" s="1923">
        <f t="shared" si="292"/>
        <v>14</v>
      </c>
      <c r="F999" s="1923">
        <f t="shared" si="292"/>
        <v>15</v>
      </c>
      <c r="G999" s="1923">
        <f t="shared" si="292"/>
        <v>16</v>
      </c>
      <c r="H999" s="1923">
        <f t="shared" si="292"/>
        <v>17</v>
      </c>
      <c r="I999" s="1923">
        <f t="shared" si="292"/>
        <v>18</v>
      </c>
      <c r="J999" s="1923">
        <f t="shared" si="292"/>
        <v>19</v>
      </c>
      <c r="K999" s="1923">
        <f t="shared" si="292"/>
        <v>20</v>
      </c>
    </row>
    <row r="1000" spans="1:19">
      <c r="A1000" s="683" t="s">
        <v>2420</v>
      </c>
      <c r="B1000" s="1920">
        <f t="shared" ref="B1000:K1000" si="293">$B$14*(1+$B$5)^(B999-1)</f>
        <v>0</v>
      </c>
      <c r="C1000" s="1920">
        <f t="shared" si="293"/>
        <v>0</v>
      </c>
      <c r="D1000" s="1920">
        <f t="shared" si="293"/>
        <v>0</v>
      </c>
      <c r="E1000" s="1920">
        <f t="shared" si="293"/>
        <v>0</v>
      </c>
      <c r="F1000" s="1920">
        <f t="shared" si="293"/>
        <v>0</v>
      </c>
      <c r="G1000" s="1920">
        <f t="shared" si="293"/>
        <v>0</v>
      </c>
      <c r="H1000" s="1920">
        <f t="shared" si="293"/>
        <v>0</v>
      </c>
      <c r="I1000" s="1920">
        <f t="shared" si="293"/>
        <v>0</v>
      </c>
      <c r="J1000" s="1920">
        <f t="shared" si="293"/>
        <v>0</v>
      </c>
      <c r="K1000" s="1920">
        <f t="shared" si="293"/>
        <v>0</v>
      </c>
    </row>
    <row r="1001" spans="1:19">
      <c r="A1001" s="683" t="s">
        <v>1026</v>
      </c>
      <c r="B1001" s="1920">
        <f t="shared" ref="B1001:K1001" si="294">$B$15*(1+$B$5)^(B999-1)</f>
        <v>0</v>
      </c>
      <c r="C1001" s="1920">
        <f t="shared" si="294"/>
        <v>0</v>
      </c>
      <c r="D1001" s="1920">
        <f t="shared" si="294"/>
        <v>0</v>
      </c>
      <c r="E1001" s="1920">
        <f t="shared" si="294"/>
        <v>0</v>
      </c>
      <c r="F1001" s="1920">
        <f t="shared" si="294"/>
        <v>0</v>
      </c>
      <c r="G1001" s="1920">
        <f t="shared" si="294"/>
        <v>0</v>
      </c>
      <c r="H1001" s="1920">
        <f t="shared" si="294"/>
        <v>0</v>
      </c>
      <c r="I1001" s="1920">
        <f t="shared" si="294"/>
        <v>0</v>
      </c>
      <c r="J1001" s="1920">
        <f t="shared" si="294"/>
        <v>0</v>
      </c>
      <c r="K1001" s="1920">
        <f t="shared" si="294"/>
        <v>0</v>
      </c>
    </row>
    <row r="1002" spans="1:19">
      <c r="A1002" s="683" t="s">
        <v>2421</v>
      </c>
      <c r="B1002" s="1920">
        <f t="shared" ref="B1002:K1002" si="295">-(B1000+B1001)*$B$8</f>
        <v>0</v>
      </c>
      <c r="C1002" s="1920">
        <f t="shared" si="295"/>
        <v>0</v>
      </c>
      <c r="D1002" s="1920">
        <f t="shared" si="295"/>
        <v>0</v>
      </c>
      <c r="E1002" s="1920">
        <f t="shared" si="295"/>
        <v>0</v>
      </c>
      <c r="F1002" s="1920">
        <f t="shared" si="295"/>
        <v>0</v>
      </c>
      <c r="G1002" s="1920">
        <f t="shared" si="295"/>
        <v>0</v>
      </c>
      <c r="H1002" s="1920">
        <f t="shared" si="295"/>
        <v>0</v>
      </c>
      <c r="I1002" s="1920">
        <f t="shared" si="295"/>
        <v>0</v>
      </c>
      <c r="J1002" s="1920">
        <f t="shared" si="295"/>
        <v>0</v>
      </c>
      <c r="K1002" s="1920">
        <f t="shared" si="295"/>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6">$B$19*(1+$B$6)^(B999-1)</f>
        <v>0</v>
      </c>
      <c r="C1005" s="1920">
        <f t="shared" si="296"/>
        <v>0</v>
      </c>
      <c r="D1005" s="1920">
        <f t="shared" si="296"/>
        <v>0</v>
      </c>
      <c r="E1005" s="1920">
        <f t="shared" si="296"/>
        <v>0</v>
      </c>
      <c r="F1005" s="1920">
        <f t="shared" si="296"/>
        <v>0</v>
      </c>
      <c r="G1005" s="1920">
        <f t="shared" si="296"/>
        <v>0</v>
      </c>
      <c r="H1005" s="1920">
        <f t="shared" si="296"/>
        <v>0</v>
      </c>
      <c r="I1005" s="1920">
        <f t="shared" si="296"/>
        <v>0</v>
      </c>
      <c r="J1005" s="1920">
        <f t="shared" si="296"/>
        <v>0</v>
      </c>
      <c r="K1005" s="1920">
        <f t="shared" si="296"/>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7">$B$21*(1+$B$7)^(B999-1)</f>
        <v>0</v>
      </c>
      <c r="C1007" s="1920">
        <f t="shared" si="297"/>
        <v>0</v>
      </c>
      <c r="D1007" s="1920">
        <f t="shared" si="297"/>
        <v>0</v>
      </c>
      <c r="E1007" s="1920">
        <f t="shared" si="297"/>
        <v>0</v>
      </c>
      <c r="F1007" s="1920">
        <f t="shared" si="297"/>
        <v>0</v>
      </c>
      <c r="G1007" s="1920">
        <f t="shared" si="297"/>
        <v>0</v>
      </c>
      <c r="H1007" s="1920">
        <f t="shared" si="297"/>
        <v>0</v>
      </c>
      <c r="I1007" s="1920">
        <f t="shared" si="297"/>
        <v>0</v>
      </c>
      <c r="J1007" s="1920">
        <f t="shared" si="297"/>
        <v>0</v>
      </c>
      <c r="K1007" s="1920">
        <f t="shared" si="297"/>
        <v>0</v>
      </c>
    </row>
    <row r="1008" spans="1:19">
      <c r="A1008" s="683" t="s">
        <v>1215</v>
      </c>
      <c r="B1008" s="1920">
        <f t="shared" ref="B1008:K1008" si="298">SUM(B1000:B1007)</f>
        <v>0</v>
      </c>
      <c r="C1008" s="1920">
        <f t="shared" si="298"/>
        <v>0</v>
      </c>
      <c r="D1008" s="1920">
        <f t="shared" si="298"/>
        <v>0</v>
      </c>
      <c r="E1008" s="1920">
        <f t="shared" si="298"/>
        <v>0</v>
      </c>
      <c r="F1008" s="1920">
        <f t="shared" si="298"/>
        <v>0</v>
      </c>
      <c r="G1008" s="1920">
        <f t="shared" si="298"/>
        <v>0</v>
      </c>
      <c r="H1008" s="1920">
        <f t="shared" si="298"/>
        <v>0</v>
      </c>
      <c r="I1008" s="1920">
        <f t="shared" si="298"/>
        <v>0</v>
      </c>
      <c r="J1008" s="1920">
        <f t="shared" si="298"/>
        <v>0</v>
      </c>
      <c r="K1008" s="1920">
        <f t="shared" si="298"/>
        <v>0</v>
      </c>
    </row>
    <row r="1009" spans="1:11">
      <c r="A1009" s="683" t="str">
        <f>$A979</f>
        <v>Mortgage A</v>
      </c>
      <c r="B1009" s="1920">
        <f>'Part VII-Pro Forma'!B53</f>
        <v>-110374.6336698712</v>
      </c>
      <c r="C1009" s="1920">
        <f>'Part VII-Pro Forma'!C53</f>
        <v>-110374.6336698712</v>
      </c>
      <c r="D1009" s="1920">
        <f>'Part VII-Pro Forma'!D53</f>
        <v>-110374.6336698712</v>
      </c>
      <c r="E1009" s="1920">
        <f>'Part VII-Pro Forma'!E53</f>
        <v>-110374.6336698712</v>
      </c>
      <c r="F1009" s="1920">
        <f>'Part VII-Pro Forma'!F53</f>
        <v>-110374.6336698712</v>
      </c>
      <c r="G1009" s="1920">
        <f>'Part VII-Pro Forma'!G53</f>
        <v>-110374.6336698712</v>
      </c>
      <c r="H1009" s="1920">
        <f>'Part VII-Pro Forma'!H53</f>
        <v>-110374.6336698712</v>
      </c>
      <c r="I1009" s="1920">
        <f>'Part VII-Pro Forma'!I53</f>
        <v>-110374.6336698712</v>
      </c>
      <c r="J1009" s="1920">
        <f>'Part VII-Pro Forma'!J53</f>
        <v>-110374.6336698712</v>
      </c>
      <c r="K1009" s="1920">
        <f>'Part VII-Pro Forma'!K53</f>
        <v>-110374.6336698712</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-10829.372845080899</v>
      </c>
      <c r="C1014" s="1920">
        <f>'Part VII-Pro Forma'!C58</f>
        <v>-11131.7540304333</v>
      </c>
      <c r="D1014" s="1920">
        <f>'Part VII-Pro Forma'!D58</f>
        <v>-11443.2066513463</v>
      </c>
      <c r="E1014" s="1920">
        <f>'Part VII-Pro Forma'!E58</f>
        <v>-11764.0028508867</v>
      </c>
      <c r="F1014" s="1920">
        <f>'Part VII-Pro Forma'!F58</f>
        <v>-12094.422936413301</v>
      </c>
      <c r="G1014" s="1920">
        <f>'Part VII-Pro Forma'!G58</f>
        <v>-750</v>
      </c>
      <c r="H1014" s="1920">
        <f>'Part VII-Pro Forma'!H58</f>
        <v>-750</v>
      </c>
      <c r="I1014" s="1920">
        <f>'Part VII-Pro Forma'!I58</f>
        <v>-750</v>
      </c>
      <c r="J1014" s="1920">
        <f>'Part VII-Pro Forma'!J58</f>
        <v>-750</v>
      </c>
      <c r="K1014" s="1920">
        <f>'Part VII-Pro Forma'!K58</f>
        <v>-750</v>
      </c>
    </row>
    <row r="1015" spans="1:11">
      <c r="A1015" s="683" t="s">
        <v>4129</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-121204.0065149521</v>
      </c>
      <c r="C1016" s="1920">
        <f t="shared" ref="C1016:K1016" si="299">SUM(C1008:C1015)</f>
        <v>-121506.38770030449</v>
      </c>
      <c r="D1016" s="1920">
        <f t="shared" si="299"/>
        <v>-121817.84032121749</v>
      </c>
      <c r="E1016" s="1920">
        <f t="shared" si="299"/>
        <v>-122138.63652075789</v>
      </c>
      <c r="F1016" s="1920">
        <f t="shared" si="299"/>
        <v>-122469.0566062845</v>
      </c>
      <c r="G1016" s="1920">
        <f t="shared" si="299"/>
        <v>-111124.6336698712</v>
      </c>
      <c r="H1016" s="1920">
        <f t="shared" si="299"/>
        <v>-111124.6336698712</v>
      </c>
      <c r="I1016" s="1920">
        <f t="shared" si="299"/>
        <v>-111124.6336698712</v>
      </c>
      <c r="J1016" s="1920">
        <f t="shared" si="299"/>
        <v>-111124.6336698712</v>
      </c>
      <c r="K1016" s="1920">
        <f t="shared" si="299"/>
        <v>-111124.6336698712</v>
      </c>
    </row>
    <row r="1017" spans="1:11">
      <c r="A1017" s="683" t="str">
        <f>$A987</f>
        <v>DCR Mortgage A</v>
      </c>
      <c r="B1017" s="1921">
        <f t="shared" ref="B1017:K1017" si="300">IF(B1009=0,"",-B1008/B1009)</f>
        <v>0</v>
      </c>
      <c r="C1017" s="1921">
        <f t="shared" si="300"/>
        <v>0</v>
      </c>
      <c r="D1017" s="1921">
        <f t="shared" si="300"/>
        <v>0</v>
      </c>
      <c r="E1017" s="1921">
        <f t="shared" si="300"/>
        <v>0</v>
      </c>
      <c r="F1017" s="1921">
        <f t="shared" si="300"/>
        <v>0</v>
      </c>
      <c r="G1017" s="1921">
        <f t="shared" si="300"/>
        <v>0</v>
      </c>
      <c r="H1017" s="1921">
        <f t="shared" si="300"/>
        <v>0</v>
      </c>
      <c r="I1017" s="1921">
        <f t="shared" si="300"/>
        <v>0</v>
      </c>
      <c r="J1017" s="1921">
        <f t="shared" si="300"/>
        <v>0</v>
      </c>
      <c r="K1017" s="1921">
        <f t="shared" si="300"/>
        <v>0</v>
      </c>
    </row>
    <row r="1018" spans="1:11">
      <c r="A1018" s="683" t="str">
        <f>$A988</f>
        <v>DCR Mortgage B</v>
      </c>
      <c r="B1018" s="1921" t="str">
        <f t="shared" ref="B1018:K1018" si="301">IF(B1010=0,"",-(B1008+B1009)/B1010)</f>
        <v/>
      </c>
      <c r="C1018" s="1921" t="str">
        <f t="shared" si="301"/>
        <v/>
      </c>
      <c r="D1018" s="1921" t="str">
        <f t="shared" si="301"/>
        <v/>
      </c>
      <c r="E1018" s="1921" t="str">
        <f t="shared" si="301"/>
        <v/>
      </c>
      <c r="F1018" s="1921" t="str">
        <f t="shared" si="301"/>
        <v/>
      </c>
      <c r="G1018" s="1921" t="str">
        <f t="shared" si="301"/>
        <v/>
      </c>
      <c r="H1018" s="1921" t="str">
        <f t="shared" si="301"/>
        <v/>
      </c>
      <c r="I1018" s="1921" t="str">
        <f t="shared" si="301"/>
        <v/>
      </c>
      <c r="J1018" s="1921" t="str">
        <f t="shared" si="301"/>
        <v/>
      </c>
      <c r="K1018" s="1921" t="str">
        <f t="shared" si="301"/>
        <v/>
      </c>
    </row>
    <row r="1019" spans="1:11">
      <c r="A1019" s="683" t="str">
        <f>$A989</f>
        <v>DCR Mortgage C</v>
      </c>
      <c r="B1019" s="1921" t="str">
        <f t="shared" ref="B1019:K1019" si="302">IF(B1011=0,"",-(B1008+B1009+B1010)/B1011)</f>
        <v/>
      </c>
      <c r="C1019" s="1921" t="str">
        <f t="shared" si="302"/>
        <v/>
      </c>
      <c r="D1019" s="1921" t="str">
        <f t="shared" si="302"/>
        <v/>
      </c>
      <c r="E1019" s="1921" t="str">
        <f t="shared" si="302"/>
        <v/>
      </c>
      <c r="F1019" s="1921" t="str">
        <f t="shared" si="302"/>
        <v/>
      </c>
      <c r="G1019" s="1921" t="str">
        <f t="shared" si="302"/>
        <v/>
      </c>
      <c r="H1019" s="1921" t="str">
        <f t="shared" si="302"/>
        <v/>
      </c>
      <c r="I1019" s="1921" t="str">
        <f t="shared" si="302"/>
        <v/>
      </c>
      <c r="J1019" s="1921" t="str">
        <f t="shared" si="302"/>
        <v/>
      </c>
      <c r="K1019" s="1921" t="str">
        <f t="shared" si="302"/>
        <v/>
      </c>
    </row>
    <row r="1020" spans="1:11">
      <c r="A1020" s="683" t="str">
        <f>$A990</f>
        <v>DCR Other Source</v>
      </c>
      <c r="B1020" s="1921" t="str">
        <f t="shared" ref="B1020:K1020" si="303">IF(B1012=0,"",-(B1008+B1009+B1010+B1011)/B1012)</f>
        <v/>
      </c>
      <c r="C1020" s="1921" t="str">
        <f t="shared" si="303"/>
        <v/>
      </c>
      <c r="D1020" s="1921" t="str">
        <f t="shared" si="303"/>
        <v/>
      </c>
      <c r="E1020" s="1921" t="str">
        <f t="shared" si="303"/>
        <v/>
      </c>
      <c r="F1020" s="1921" t="str">
        <f t="shared" si="303"/>
        <v/>
      </c>
      <c r="G1020" s="1921" t="str">
        <f t="shared" si="303"/>
        <v/>
      </c>
      <c r="H1020" s="1921" t="str">
        <f t="shared" si="303"/>
        <v/>
      </c>
      <c r="I1020" s="1921" t="str">
        <f t="shared" si="303"/>
        <v/>
      </c>
      <c r="J1020" s="1921" t="str">
        <f t="shared" si="303"/>
        <v/>
      </c>
      <c r="K1020" s="1921" t="str">
        <f t="shared" si="303"/>
        <v/>
      </c>
    </row>
    <row r="1021" spans="1:11">
      <c r="A1021" s="683" t="s">
        <v>3739</v>
      </c>
      <c r="B1021" s="1921">
        <f t="shared" ref="B1021:K1021" si="304">IF(AND(B1009=0,B1010=0,B1011=0,B1012=0),"",-B1008/(B1009+B1010+B1011+B1012))</f>
        <v>0</v>
      </c>
      <c r="C1021" s="1921">
        <f t="shared" si="304"/>
        <v>0</v>
      </c>
      <c r="D1021" s="1921">
        <f t="shared" si="304"/>
        <v>0</v>
      </c>
      <c r="E1021" s="1921">
        <f t="shared" si="304"/>
        <v>0</v>
      </c>
      <c r="F1021" s="1921">
        <f t="shared" si="304"/>
        <v>0</v>
      </c>
      <c r="G1021" s="1921">
        <f t="shared" si="304"/>
        <v>0</v>
      </c>
      <c r="H1021" s="1921">
        <f t="shared" si="304"/>
        <v>0</v>
      </c>
      <c r="I1021" s="1921">
        <f t="shared" si="304"/>
        <v>0</v>
      </c>
      <c r="J1021" s="1921">
        <f t="shared" si="304"/>
        <v>0</v>
      </c>
      <c r="K1021" s="1921">
        <f t="shared" si="304"/>
        <v>0</v>
      </c>
    </row>
    <row r="1022" spans="1:11">
      <c r="A1022" s="683" t="s">
        <v>778</v>
      </c>
      <c r="B1022" s="1922" t="e">
        <f t="shared" ref="B1022:K1022" si="305">IF(OR(B1006="Choose mgt fee",B1006="Choose One!"),"",(B1000+B1001+B1002+B1003+B1004) / -(B1005+B1006+B1007))</f>
        <v>#DIV/0!</v>
      </c>
      <c r="C1022" s="1922" t="e">
        <f t="shared" si="305"/>
        <v>#DIV/0!</v>
      </c>
      <c r="D1022" s="1922" t="e">
        <f t="shared" si="305"/>
        <v>#DIV/0!</v>
      </c>
      <c r="E1022" s="1922" t="e">
        <f t="shared" si="305"/>
        <v>#DIV/0!</v>
      </c>
      <c r="F1022" s="1922" t="e">
        <f t="shared" si="305"/>
        <v>#DIV/0!</v>
      </c>
      <c r="G1022" s="1922" t="e">
        <f t="shared" si="305"/>
        <v>#DIV/0!</v>
      </c>
      <c r="H1022" s="1922" t="e">
        <f t="shared" si="305"/>
        <v>#DIV/0!</v>
      </c>
      <c r="I1022" s="1922" t="e">
        <f t="shared" si="305"/>
        <v>#DIV/0!</v>
      </c>
      <c r="J1022" s="1922" t="e">
        <f t="shared" si="305"/>
        <v>#DIV/0!</v>
      </c>
      <c r="K1022" s="1922" t="e">
        <f t="shared" si="305"/>
        <v>#DIV/0!</v>
      </c>
    </row>
    <row r="1023" spans="1:11">
      <c r="A1023" s="683" t="s">
        <v>2634</v>
      </c>
      <c r="B1023" s="1920">
        <f>'Part VII-Pro Forma'!B67</f>
        <v>949603.31197446631</v>
      </c>
      <c r="C1023" s="1920">
        <f>'Part VII-Pro Forma'!C67</f>
        <v>848261.06442645798</v>
      </c>
      <c r="D1023" s="1920">
        <f>'Part VII-Pro Forma'!D67</f>
        <v>745900.73662336334</v>
      </c>
      <c r="E1023" s="1920">
        <f>'Part VII-Pro Forma'!E67</f>
        <v>642512.10097075976</v>
      </c>
      <c r="F1023" s="1920">
        <f>'Part VII-Pro Forma'!F67</f>
        <v>538084.82712821127</v>
      </c>
      <c r="G1023" s="1920">
        <f>'Part VII-Pro Forma'!G67</f>
        <v>432608.48097708559</v>
      </c>
      <c r="H1023" s="1920">
        <f>'Part VII-Pro Forma'!H67</f>
        <v>326072.52357800299</v>
      </c>
      <c r="I1023" s="1920">
        <f>'Part VII-Pro Forma'!I67</f>
        <v>218466.31011781091</v>
      </c>
      <c r="J1023" s="1920">
        <f>'Part VII-Pro Forma'!J67</f>
        <v>109779.08884598009</v>
      </c>
      <c r="K1023" s="1920">
        <f>'Part VII-Pro Forma'!K67</f>
        <v>3.1614035833626986E-7</v>
      </c>
    </row>
    <row r="1024" spans="1:11">
      <c r="A1024" s="683" t="s">
        <v>2635</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2636</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4130</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2496</v>
      </c>
      <c r="B1029" s="1923">
        <f>K999+1</f>
        <v>21</v>
      </c>
      <c r="C1029" s="1923">
        <f t="shared" ref="C1029:K1029" si="306">B1029+1</f>
        <v>22</v>
      </c>
      <c r="D1029" s="1923">
        <f t="shared" si="306"/>
        <v>23</v>
      </c>
      <c r="E1029" s="1923">
        <f t="shared" si="306"/>
        <v>24</v>
      </c>
      <c r="F1029" s="1923">
        <f t="shared" si="306"/>
        <v>25</v>
      </c>
      <c r="G1029" s="1923">
        <f t="shared" si="306"/>
        <v>26</v>
      </c>
      <c r="H1029" s="1923">
        <f t="shared" si="306"/>
        <v>27</v>
      </c>
      <c r="I1029" s="1923">
        <f t="shared" si="306"/>
        <v>28</v>
      </c>
      <c r="J1029" s="1923">
        <f t="shared" si="306"/>
        <v>29</v>
      </c>
      <c r="K1029" s="1923">
        <f t="shared" si="306"/>
        <v>30</v>
      </c>
    </row>
    <row r="1030" spans="1:11">
      <c r="A1030" s="683" t="s">
        <v>2420</v>
      </c>
      <c r="B1030" s="1920">
        <f t="shared" ref="B1030:K1030" si="307">$B$14*(1+$B$5)^(B1029-1)</f>
        <v>0</v>
      </c>
      <c r="C1030" s="1920">
        <f t="shared" si="307"/>
        <v>0</v>
      </c>
      <c r="D1030" s="1920">
        <f t="shared" si="307"/>
        <v>0</v>
      </c>
      <c r="E1030" s="1920">
        <f t="shared" si="307"/>
        <v>0</v>
      </c>
      <c r="F1030" s="1920">
        <f t="shared" si="307"/>
        <v>0</v>
      </c>
      <c r="G1030" s="1920">
        <f t="shared" si="307"/>
        <v>0</v>
      </c>
      <c r="H1030" s="1920">
        <f t="shared" si="307"/>
        <v>0</v>
      </c>
      <c r="I1030" s="1920">
        <f t="shared" si="307"/>
        <v>0</v>
      </c>
      <c r="J1030" s="1920">
        <f t="shared" si="307"/>
        <v>0</v>
      </c>
      <c r="K1030" s="1920">
        <f t="shared" si="307"/>
        <v>0</v>
      </c>
    </row>
    <row r="1031" spans="1:11">
      <c r="A1031" s="683" t="s">
        <v>1026</v>
      </c>
      <c r="B1031" s="1920">
        <f t="shared" ref="B1031:K1031" si="308">$B$15*(1+$B$5)^(B1029-1)</f>
        <v>0</v>
      </c>
      <c r="C1031" s="1920">
        <f t="shared" si="308"/>
        <v>0</v>
      </c>
      <c r="D1031" s="1920">
        <f t="shared" si="308"/>
        <v>0</v>
      </c>
      <c r="E1031" s="1920">
        <f t="shared" si="308"/>
        <v>0</v>
      </c>
      <c r="F1031" s="1920">
        <f t="shared" si="308"/>
        <v>0</v>
      </c>
      <c r="G1031" s="1920">
        <f t="shared" si="308"/>
        <v>0</v>
      </c>
      <c r="H1031" s="1920">
        <f t="shared" si="308"/>
        <v>0</v>
      </c>
      <c r="I1031" s="1920">
        <f t="shared" si="308"/>
        <v>0</v>
      </c>
      <c r="J1031" s="1920">
        <f t="shared" si="308"/>
        <v>0</v>
      </c>
      <c r="K1031" s="1920">
        <f t="shared" si="308"/>
        <v>0</v>
      </c>
    </row>
    <row r="1032" spans="1:11">
      <c r="A1032" s="683" t="s">
        <v>2421</v>
      </c>
      <c r="B1032" s="1920">
        <f t="shared" ref="B1032:K1032" si="309">-(B1030+B1031)*$B$8</f>
        <v>0</v>
      </c>
      <c r="C1032" s="1920">
        <f t="shared" si="309"/>
        <v>0</v>
      </c>
      <c r="D1032" s="1920">
        <f t="shared" si="309"/>
        <v>0</v>
      </c>
      <c r="E1032" s="1920">
        <f t="shared" si="309"/>
        <v>0</v>
      </c>
      <c r="F1032" s="1920">
        <f t="shared" si="309"/>
        <v>0</v>
      </c>
      <c r="G1032" s="1920">
        <f t="shared" si="309"/>
        <v>0</v>
      </c>
      <c r="H1032" s="1920">
        <f t="shared" si="309"/>
        <v>0</v>
      </c>
      <c r="I1032" s="1920">
        <f t="shared" si="309"/>
        <v>0</v>
      </c>
      <c r="J1032" s="1920">
        <f t="shared" si="309"/>
        <v>0</v>
      </c>
      <c r="K1032" s="1920">
        <f t="shared" si="309"/>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0">$B$19*(1+$B$6)^(B1029-1)</f>
        <v>0</v>
      </c>
      <c r="C1035" s="1920">
        <f t="shared" si="310"/>
        <v>0</v>
      </c>
      <c r="D1035" s="1920">
        <f t="shared" si="310"/>
        <v>0</v>
      </c>
      <c r="E1035" s="1920">
        <f t="shared" si="310"/>
        <v>0</v>
      </c>
      <c r="F1035" s="1920">
        <f t="shared" si="310"/>
        <v>0</v>
      </c>
      <c r="G1035" s="1920">
        <f t="shared" si="310"/>
        <v>0</v>
      </c>
      <c r="H1035" s="1920">
        <f t="shared" si="310"/>
        <v>0</v>
      </c>
      <c r="I1035" s="1920">
        <f t="shared" si="310"/>
        <v>0</v>
      </c>
      <c r="J1035" s="1920">
        <f t="shared" si="310"/>
        <v>0</v>
      </c>
      <c r="K1035" s="1920">
        <f t="shared" si="310"/>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1">$B$21*(1+$B$7)^(B1029-1)</f>
        <v>0</v>
      </c>
      <c r="C1037" s="1920">
        <f t="shared" si="311"/>
        <v>0</v>
      </c>
      <c r="D1037" s="1920">
        <f t="shared" si="311"/>
        <v>0</v>
      </c>
      <c r="E1037" s="1920">
        <f t="shared" si="311"/>
        <v>0</v>
      </c>
      <c r="F1037" s="1920">
        <f t="shared" si="311"/>
        <v>0</v>
      </c>
      <c r="G1037" s="1920">
        <f t="shared" si="311"/>
        <v>0</v>
      </c>
      <c r="H1037" s="1920">
        <f t="shared" si="311"/>
        <v>0</v>
      </c>
      <c r="I1037" s="1920">
        <f t="shared" si="311"/>
        <v>0</v>
      </c>
      <c r="J1037" s="1920">
        <f t="shared" si="311"/>
        <v>0</v>
      </c>
      <c r="K1037" s="1920">
        <f t="shared" si="311"/>
        <v>0</v>
      </c>
    </row>
    <row r="1038" spans="1:11">
      <c r="A1038" s="683" t="s">
        <v>1215</v>
      </c>
      <c r="B1038" s="1920">
        <f t="shared" ref="B1038:K1038" si="312">SUM(B1030:B1037)</f>
        <v>0</v>
      </c>
      <c r="C1038" s="1920">
        <f t="shared" si="312"/>
        <v>0</v>
      </c>
      <c r="D1038" s="1920">
        <f t="shared" si="312"/>
        <v>0</v>
      </c>
      <c r="E1038" s="1920">
        <f t="shared" si="312"/>
        <v>0</v>
      </c>
      <c r="F1038" s="1920">
        <f t="shared" si="312"/>
        <v>0</v>
      </c>
      <c r="G1038" s="1920">
        <f t="shared" si="312"/>
        <v>0</v>
      </c>
      <c r="H1038" s="1920">
        <f t="shared" si="312"/>
        <v>0</v>
      </c>
      <c r="I1038" s="1920">
        <f t="shared" si="312"/>
        <v>0</v>
      </c>
      <c r="J1038" s="1920">
        <f t="shared" si="312"/>
        <v>0</v>
      </c>
      <c r="K1038" s="1920">
        <f t="shared" si="312"/>
        <v>0</v>
      </c>
    </row>
    <row r="1039" spans="1:11">
      <c r="A1039" s="683" t="str">
        <f>$A1009</f>
        <v>Mortgage A</v>
      </c>
      <c r="B1039" s="1920">
        <f>'Part VII-Pro Forma'!B83</f>
        <v>0</v>
      </c>
      <c r="C1039" s="1920">
        <f>'Part VII-Pro Forma'!C83</f>
        <v>0</v>
      </c>
      <c r="D1039" s="1920">
        <f>'Part VII-Pro Forma'!D83</f>
        <v>0</v>
      </c>
      <c r="E1039" s="1920">
        <f>'Part VII-Pro Forma'!E83</f>
        <v>0</v>
      </c>
      <c r="F1039" s="1920">
        <f>'Part VII-Pro Forma'!F83</f>
        <v>0</v>
      </c>
      <c r="G1039" s="1920">
        <f>'Part VII-Pro Forma'!G83</f>
        <v>0</v>
      </c>
      <c r="H1039" s="1920">
        <f>'Part VII-Pro Forma'!H83</f>
        <v>0</v>
      </c>
      <c r="I1039" s="1920">
        <f>'Part VII-Pro Forma'!I83</f>
        <v>0</v>
      </c>
      <c r="J1039" s="1920">
        <f>'Part VII-Pro Forma'!J83</f>
        <v>0</v>
      </c>
      <c r="K1039" s="1920">
        <f>'Part VII-Pro Forma'!K83</f>
        <v>0</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-750</v>
      </c>
      <c r="C1044" s="1920">
        <f>'Part VII-Pro Forma'!C88</f>
        <v>-750</v>
      </c>
      <c r="D1044" s="1920">
        <f>'Part VII-Pro Forma'!D88</f>
        <v>-750</v>
      </c>
      <c r="E1044" s="1920">
        <f>'Part VII-Pro Forma'!E88</f>
        <v>-750</v>
      </c>
      <c r="F1044" s="1920">
        <f>'Part VII-Pro Forma'!F88</f>
        <v>-750</v>
      </c>
      <c r="G1044" s="1920">
        <f>'Part VII-Pro Forma'!G88</f>
        <v>-750</v>
      </c>
      <c r="H1044" s="1920">
        <f>'Part VII-Pro Forma'!H88</f>
        <v>-750</v>
      </c>
      <c r="I1044" s="1920">
        <f>'Part VII-Pro Forma'!I88</f>
        <v>-750</v>
      </c>
      <c r="J1044" s="1920">
        <f>'Part VII-Pro Forma'!J88</f>
        <v>-750</v>
      </c>
      <c r="K1044" s="1920">
        <f>'Part VII-Pro Forma'!K88</f>
        <v>-750</v>
      </c>
    </row>
    <row r="1045" spans="1:11">
      <c r="A1045" s="683" t="s">
        <v>1175</v>
      </c>
      <c r="B1045" s="1920">
        <f t="shared" ref="B1045:K1045" si="313">SUM(B1038:B1044)</f>
        <v>-750</v>
      </c>
      <c r="C1045" s="1920">
        <f t="shared" si="313"/>
        <v>-750</v>
      </c>
      <c r="D1045" s="1920">
        <f t="shared" si="313"/>
        <v>-750</v>
      </c>
      <c r="E1045" s="1920">
        <f t="shared" si="313"/>
        <v>-750</v>
      </c>
      <c r="F1045" s="1920">
        <f t="shared" si="313"/>
        <v>-750</v>
      </c>
      <c r="G1045" s="1920">
        <f t="shared" si="313"/>
        <v>-750</v>
      </c>
      <c r="H1045" s="1920">
        <f t="shared" si="313"/>
        <v>-750</v>
      </c>
      <c r="I1045" s="1920">
        <f t="shared" si="313"/>
        <v>-750</v>
      </c>
      <c r="J1045" s="1920">
        <f t="shared" si="313"/>
        <v>-750</v>
      </c>
      <c r="K1045" s="1920">
        <f t="shared" si="313"/>
        <v>-750</v>
      </c>
    </row>
    <row r="1046" spans="1:11">
      <c r="A1046" s="683" t="str">
        <f>$A1017</f>
        <v>DCR Mortgage A</v>
      </c>
      <c r="B1046" s="1921" t="str">
        <f>IF(B1039=0,"",-B1038/B1039)</f>
        <v/>
      </c>
      <c r="C1046" s="1921" t="str">
        <f t="shared" ref="C1046:K1046" si="314">IF(C1039=0,"",-C1038/C1039)</f>
        <v/>
      </c>
      <c r="D1046" s="1921" t="str">
        <f t="shared" si="314"/>
        <v/>
      </c>
      <c r="E1046" s="1921" t="str">
        <f t="shared" si="314"/>
        <v/>
      </c>
      <c r="F1046" s="1921" t="str">
        <f t="shared" si="314"/>
        <v/>
      </c>
      <c r="G1046" s="1921" t="str">
        <f t="shared" si="314"/>
        <v/>
      </c>
      <c r="H1046" s="1921" t="str">
        <f t="shared" si="314"/>
        <v/>
      </c>
      <c r="I1046" s="1921" t="str">
        <f t="shared" si="314"/>
        <v/>
      </c>
      <c r="J1046" s="1921" t="str">
        <f t="shared" si="314"/>
        <v/>
      </c>
      <c r="K1046" s="1921" t="str">
        <f t="shared" si="314"/>
        <v/>
      </c>
    </row>
    <row r="1047" spans="1:11">
      <c r="A1047" s="683" t="str">
        <f>$A1018</f>
        <v>DCR Mortgage B</v>
      </c>
      <c r="B1047" s="1921" t="str">
        <f>IF(B1040=0,"",-(B1038+B1039)/B1040)</f>
        <v/>
      </c>
      <c r="C1047" s="1921" t="str">
        <f t="shared" ref="C1047:K1047" si="315">IF(C1040=0,"",-(C1038+C1039)/C1040)</f>
        <v/>
      </c>
      <c r="D1047" s="1921" t="str">
        <f t="shared" si="315"/>
        <v/>
      </c>
      <c r="E1047" s="1921" t="str">
        <f t="shared" si="315"/>
        <v/>
      </c>
      <c r="F1047" s="1921" t="str">
        <f t="shared" si="315"/>
        <v/>
      </c>
      <c r="G1047" s="1921" t="str">
        <f t="shared" si="315"/>
        <v/>
      </c>
      <c r="H1047" s="1921" t="str">
        <f t="shared" si="315"/>
        <v/>
      </c>
      <c r="I1047" s="1921" t="str">
        <f t="shared" si="315"/>
        <v/>
      </c>
      <c r="J1047" s="1921" t="str">
        <f t="shared" si="315"/>
        <v/>
      </c>
      <c r="K1047" s="1921" t="str">
        <f t="shared" si="315"/>
        <v/>
      </c>
    </row>
    <row r="1048" spans="1:11">
      <c r="A1048" s="683" t="str">
        <f>$A1019</f>
        <v>DCR Mortgage C</v>
      </c>
      <c r="B1048" s="1921" t="str">
        <f>IF(B1041=0,"",-(B1038+B1039+B1040)/B1041)</f>
        <v/>
      </c>
      <c r="C1048" s="1921" t="str">
        <f t="shared" ref="C1048:K1048" si="316">IF(C1041=0,"",-(C1038+C1039+C1040)/C1041)</f>
        <v/>
      </c>
      <c r="D1048" s="1921" t="str">
        <f t="shared" si="316"/>
        <v/>
      </c>
      <c r="E1048" s="1921" t="str">
        <f t="shared" si="316"/>
        <v/>
      </c>
      <c r="F1048" s="1921" t="str">
        <f t="shared" si="316"/>
        <v/>
      </c>
      <c r="G1048" s="1921" t="str">
        <f t="shared" si="316"/>
        <v/>
      </c>
      <c r="H1048" s="1921" t="str">
        <f t="shared" si="316"/>
        <v/>
      </c>
      <c r="I1048" s="1921" t="str">
        <f t="shared" si="316"/>
        <v/>
      </c>
      <c r="J1048" s="1921" t="str">
        <f t="shared" si="316"/>
        <v/>
      </c>
      <c r="K1048" s="1921" t="str">
        <f t="shared" si="316"/>
        <v/>
      </c>
    </row>
    <row r="1049" spans="1:11">
      <c r="A1049" s="683" t="str">
        <f>$A1020</f>
        <v>DCR Other Source</v>
      </c>
      <c r="B1049" s="1921" t="str">
        <f>IF(B1042=0,"",-(B1038+B1039+B1040+B1041)/B1042)</f>
        <v/>
      </c>
      <c r="C1049" s="1921" t="str">
        <f t="shared" ref="C1049:K1049" si="317">IF(C1042=0,"",-(C1038+C1039+C1040+C1041)/C1042)</f>
        <v/>
      </c>
      <c r="D1049" s="1921" t="str">
        <f t="shared" si="317"/>
        <v/>
      </c>
      <c r="E1049" s="1921" t="str">
        <f t="shared" si="317"/>
        <v/>
      </c>
      <c r="F1049" s="1921" t="str">
        <f t="shared" si="317"/>
        <v/>
      </c>
      <c r="G1049" s="1921" t="str">
        <f t="shared" si="317"/>
        <v/>
      </c>
      <c r="H1049" s="1921" t="str">
        <f t="shared" si="317"/>
        <v/>
      </c>
      <c r="I1049" s="1921" t="str">
        <f t="shared" si="317"/>
        <v/>
      </c>
      <c r="J1049" s="1921" t="str">
        <f t="shared" si="317"/>
        <v/>
      </c>
      <c r="K1049" s="1921" t="str">
        <f t="shared" si="317"/>
        <v/>
      </c>
    </row>
    <row r="1050" spans="1:11">
      <c r="A1050" s="683" t="s">
        <v>3739</v>
      </c>
      <c r="B1050" s="1921" t="str">
        <f>IF(AND(B1039=0,B1040=0,B1041=0,B1042=0),"",-B1038/(B1039+B1040+B1041+B1042))</f>
        <v/>
      </c>
      <c r="C1050" s="1921" t="str">
        <f t="shared" ref="C1050:K1050" si="318">IF(AND(C1039=0,C1040=0,C1041=0,C1042=0),"",-C1038/(C1039+C1040+C1041+C1042))</f>
        <v/>
      </c>
      <c r="D1050" s="1921" t="str">
        <f t="shared" si="318"/>
        <v/>
      </c>
      <c r="E1050" s="1921" t="str">
        <f t="shared" si="318"/>
        <v/>
      </c>
      <c r="F1050" s="1921" t="str">
        <f t="shared" si="318"/>
        <v/>
      </c>
      <c r="G1050" s="1921" t="str">
        <f t="shared" si="318"/>
        <v/>
      </c>
      <c r="H1050" s="1921" t="str">
        <f t="shared" si="318"/>
        <v/>
      </c>
      <c r="I1050" s="1921" t="str">
        <f t="shared" si="318"/>
        <v/>
      </c>
      <c r="J1050" s="1921" t="str">
        <f t="shared" si="318"/>
        <v/>
      </c>
      <c r="K1050" s="1921" t="str">
        <f t="shared" si="318"/>
        <v/>
      </c>
    </row>
    <row r="1051" spans="1:11">
      <c r="A1051" s="683" t="s">
        <v>778</v>
      </c>
      <c r="B1051" s="1922" t="e">
        <f>IF(OR(B1036="Choose mgt fee",B1036="Choose One!"),"",(B1030+B1031+B1032+B1033+B1034) / -(B1035+B1036+B1037))</f>
        <v>#DIV/0!</v>
      </c>
      <c r="C1051" s="1922" t="e">
        <f t="shared" ref="C1051:K1051" si="319">IF(OR(C1036="Choose mgt fee",C1036="Choose One!"),"",(C1030+C1031+C1032+C1033+C1034) / -(C1035+C1036+C1037))</f>
        <v>#DIV/0!</v>
      </c>
      <c r="D1051" s="1922" t="e">
        <f t="shared" si="319"/>
        <v>#DIV/0!</v>
      </c>
      <c r="E1051" s="1922" t="e">
        <f t="shared" si="319"/>
        <v>#DIV/0!</v>
      </c>
      <c r="F1051" s="1922" t="e">
        <f t="shared" si="319"/>
        <v>#DIV/0!</v>
      </c>
      <c r="G1051" s="1922" t="e">
        <f t="shared" si="319"/>
        <v>#DIV/0!</v>
      </c>
      <c r="H1051" s="1922" t="e">
        <f t="shared" si="319"/>
        <v>#DIV/0!</v>
      </c>
      <c r="I1051" s="1922" t="e">
        <f t="shared" si="319"/>
        <v>#DIV/0!</v>
      </c>
      <c r="J1051" s="1922" t="e">
        <f t="shared" si="319"/>
        <v>#DIV/0!</v>
      </c>
      <c r="K1051" s="1922" t="e">
        <f t="shared" si="319"/>
        <v>#DIV/0!</v>
      </c>
    </row>
    <row r="1052" spans="1:11">
      <c r="A1052" s="683" t="s">
        <v>2634</v>
      </c>
      <c r="B1052" s="1920">
        <f>'Part VII-Pro Forma'!B96</f>
        <v>3.193162920109753E-7</v>
      </c>
      <c r="C1052" s="1920">
        <f>'Part VII-Pro Forma'!C96</f>
        <v>3.2252413099115709E-7</v>
      </c>
      <c r="D1052" s="1920">
        <f>'Part VII-Pro Forma'!D96</f>
        <v>3.2576419579626618E-7</v>
      </c>
      <c r="E1052" s="1920">
        <f>'Part VII-Pro Forma'!E96</f>
        <v>3.2903681016567928E-7</v>
      </c>
      <c r="F1052" s="1920">
        <f>'Part VII-Pro Forma'!F96</f>
        <v>3.3234230109104636E-7</v>
      </c>
      <c r="G1052" s="1920">
        <f>'Part VII-Pro Forma'!G96</f>
        <v>3.3568099884896261E-7</v>
      </c>
      <c r="H1052" s="1920">
        <f>'Part VII-Pro Forma'!H96</f>
        <v>3.3905323703396898E-7</v>
      </c>
      <c r="I1052" s="1920">
        <f>'Part VII-Pro Forma'!I96</f>
        <v>3.4245935259188422E-7</v>
      </c>
      <c r="J1052" s="1920">
        <f>'Part VII-Pro Forma'!J96</f>
        <v>3.4589968585347147E-7</v>
      </c>
      <c r="K1052" s="1920">
        <f>'Part VII-Pro Forma'!K96</f>
        <v>3.493745805684435E-7</v>
      </c>
    </row>
    <row r="1053" spans="1:11">
      <c r="A1053" s="683" t="s">
        <v>2635</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2636</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2496</v>
      </c>
      <c r="B1057" s="1923">
        <f>K1029+1</f>
        <v>31</v>
      </c>
      <c r="C1057" s="1923">
        <f>B1057+1</f>
        <v>32</v>
      </c>
      <c r="D1057" s="1923">
        <f>C1057+1</f>
        <v>33</v>
      </c>
      <c r="E1057" s="1923">
        <f>D1057+1</f>
        <v>34</v>
      </c>
      <c r="F1057" s="1923">
        <f>E1057+1</f>
        <v>35</v>
      </c>
      <c r="G1057" s="1920"/>
      <c r="H1057" s="1920"/>
      <c r="I1057" s="1920"/>
      <c r="J1057" s="1920"/>
      <c r="K1057" s="1920"/>
    </row>
    <row r="1058" spans="1:11">
      <c r="A1058" s="683" t="s">
        <v>2420</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2421</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0</v>
      </c>
      <c r="C1067" s="1920">
        <f>'Part VII-Pro Forma'!C111</f>
        <v>0</v>
      </c>
      <c r="D1067" s="1920">
        <f>'Part VII-Pro Forma'!D111</f>
        <v>0</v>
      </c>
      <c r="E1067" s="1920">
        <f>'Part VII-Pro Forma'!E111</f>
        <v>0</v>
      </c>
      <c r="F1067" s="1920">
        <f>'Part VII-Pro Forma'!F111</f>
        <v>0</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-750</v>
      </c>
      <c r="C1072" s="1920">
        <f>'Part VII-Pro Forma'!C116</f>
        <v>-750</v>
      </c>
      <c r="D1072" s="1920">
        <f>'Part VII-Pro Forma'!D116</f>
        <v>-750</v>
      </c>
      <c r="E1072" s="1920">
        <f>'Part VII-Pro Forma'!E116</f>
        <v>-750</v>
      </c>
      <c r="F1072" s="1920">
        <f>'Part VII-Pro Forma'!F116</f>
        <v>-750</v>
      </c>
      <c r="G1072" s="1920"/>
      <c r="H1072" s="1920"/>
      <c r="I1072" s="1920"/>
      <c r="J1072" s="1920"/>
      <c r="K1072" s="1920"/>
    </row>
    <row r="1073" spans="1:11">
      <c r="A1073" s="683" t="s">
        <v>1175</v>
      </c>
      <c r="B1073" s="1920">
        <f>SUM(B1066:B1072)</f>
        <v>-750</v>
      </c>
      <c r="C1073" s="1920">
        <f>SUM(C1066:C1072)</f>
        <v>-750</v>
      </c>
      <c r="D1073" s="1920">
        <f>SUM(D1066:D1072)</f>
        <v>-750</v>
      </c>
      <c r="E1073" s="1920">
        <f>SUM(E1066:E1072)</f>
        <v>-750</v>
      </c>
      <c r="F1073" s="1920">
        <f>SUM(F1066:F1072)</f>
        <v>-750</v>
      </c>
      <c r="G1073" s="1920"/>
      <c r="H1073" s="1920"/>
      <c r="I1073" s="1920"/>
      <c r="J1073" s="1920"/>
      <c r="K1073" s="1920"/>
    </row>
    <row r="1074" spans="1:11">
      <c r="A1074" s="683" t="str">
        <f>$A1046</f>
        <v>DCR Mortgage A</v>
      </c>
      <c r="B1074" s="1921" t="str">
        <f>IF(B1067=0,"",-B1066/B1067)</f>
        <v/>
      </c>
      <c r="C1074" s="1921" t="str">
        <f>IF(C1067=0,"",-C1066/C1067)</f>
        <v/>
      </c>
      <c r="D1074" s="1921" t="str">
        <f>IF(D1067=0,"",-D1066/D1067)</f>
        <v/>
      </c>
      <c r="E1074" s="1921" t="str">
        <f>IF(E1067=0,"",-E1066/E1067)</f>
        <v/>
      </c>
      <c r="F1074" s="1921" t="str">
        <f>IF(F1067=0,"",-F1066/F1067)</f>
        <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3739</v>
      </c>
      <c r="B1078" s="1921" t="str">
        <f>IF(AND(B1067=0,B1068=0,B1069=0,B1070=0),"",-B1066/(B1067+B1068+B1069+B1070))</f>
        <v/>
      </c>
      <c r="C1078" s="1921" t="str">
        <f>IF(AND(C1067=0,C1068=0,C1069=0,C1070=0),"",-C1066/(C1067+C1068+C1069+C1070))</f>
        <v/>
      </c>
      <c r="D1078" s="1921" t="str">
        <f>IF(AND(D1067=0,D1068=0,D1069=0,D1070=0),"",-D1066/(D1067+D1068+D1069+D1070))</f>
        <v/>
      </c>
      <c r="E1078" s="1921" t="str">
        <f>IF(AND(E1067=0,E1068=0,E1069=0,E1070=0),"",-E1066/(E1067+E1068+E1069+E1070))</f>
        <v/>
      </c>
      <c r="F1078" s="1921" t="str">
        <f>IF(AND(F1067=0,F1068=0,F1069=0,F1070=0),"",-F1066/(F1067+F1068+F1069+F1070))</f>
        <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2634</v>
      </c>
      <c r="B1080" s="1920">
        <f>'Part VII-Pro Forma'!B124</f>
        <v>3.5288438393980919E-7</v>
      </c>
      <c r="C1080" s="1920">
        <f>'Part VII-Pro Forma'!C124</f>
        <v>3.5642944665856534E-7</v>
      </c>
      <c r="D1080" s="1920">
        <f>'Part VII-Pro Forma'!D124</f>
        <v>3.6001012293873668E-7</v>
      </c>
      <c r="E1080" s="1920">
        <f>'Part VII-Pro Forma'!E124</f>
        <v>3.6362677055276832E-7</v>
      </c>
      <c r="F1080" s="1920">
        <f>'Part VII-Pro Forma'!F124</f>
        <v>3.6727975086727321E-7</v>
      </c>
      <c r="G1080" s="1920"/>
      <c r="H1080" s="1920"/>
      <c r="I1080" s="1920"/>
      <c r="J1080" s="1920"/>
      <c r="K1080" s="1920"/>
    </row>
    <row r="1081" spans="1:11">
      <c r="A1081" s="683" t="s">
        <v>2635</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2636</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 xml:space="preserve">Our Debt Service Negatively Trends , Debt Service is higher in the beginning years and reaches 1.25 by year 20, HOME compliance period. At this point the loan will have been paid off and there will be no more debt on the property. </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2018-017 Heritage Village at West Lake,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1856</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4766</v>
      </c>
      <c r="K1100" s="1927"/>
      <c r="L1100" s="1927"/>
      <c r="M1100" s="1927"/>
      <c r="N1100" s="1927"/>
      <c r="O1100" s="1927"/>
      <c r="P1100" s="1928">
        <f>'Part VIII-Threshold Criteria'!P6</f>
        <v>0</v>
      </c>
      <c r="Q1100" s="1928">
        <f>'Part VIII-Threshold Criteria'!Q6</f>
        <v>0</v>
      </c>
    </row>
    <row r="1101" spans="1:17">
      <c r="A1101" s="1929" t="s">
        <v>3473</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2668</v>
      </c>
      <c r="C1123" s="1932"/>
      <c r="D1123" s="1933"/>
      <c r="E1123" s="1933"/>
      <c r="F1123" s="1933"/>
      <c r="G1123" s="1933"/>
      <c r="I1123" s="1934"/>
      <c r="J1123" s="1934"/>
      <c r="K1123" s="1934"/>
      <c r="L1123" s="1836"/>
      <c r="M1123" s="1836"/>
      <c r="O1123" s="1935" t="s">
        <v>1881</v>
      </c>
      <c r="P1123" s="1844">
        <f>'Part VIII-Threshold Criteria'!P29</f>
        <v>0</v>
      </c>
      <c r="Q1123" s="1844">
        <f>'Part VIII-Threshold Criteria'!Q29</f>
        <v>0</v>
      </c>
    </row>
    <row r="1125" spans="1:17">
      <c r="B1125" s="1900" t="s">
        <v>3779</v>
      </c>
      <c r="C1125" s="1900"/>
      <c r="D1125" s="1900"/>
      <c r="E1125" s="1900"/>
      <c r="F1125" s="1900"/>
      <c r="G1125" s="1934"/>
      <c r="H1125" s="1934"/>
      <c r="I1125" s="1934"/>
      <c r="J1125" s="1934"/>
      <c r="K1125" s="1836"/>
      <c r="L1125" s="1836"/>
      <c r="M1125" s="1836"/>
      <c r="N1125" s="1836"/>
      <c r="O1125" s="1836"/>
      <c r="P1125" s="1836"/>
    </row>
    <row r="1126" spans="1:17" ht="409.5">
      <c r="A1126" s="1936" t="str">
        <f>'Part VIII-Threshold Criteria'!A32</f>
        <v>Project is feasible, viable and in conformance with the Plan. We have indicated all the sources of funds we intend to apply for.  Our costs meet the allowable cost limits. We have provided letters from SunTrust showing equity pricing at $0.88 for Federal credits and $0.54 for State, this pricing seems to be reasonable and in line with the current market for new construction.  Operating costs for the project meet DCA threshold requirements and are reasonable for a project of this size. Our DCR meets the minimum DCA requirement of 1.25 for the period of affordability. We have higher DCR in the earlier years but because there are only 110 units the deal negatively trends, therefore the DCR is where we need it to be in order to pay off the HOME loan is 20 years. Rents meet LIHTC requirements and are supported by the market study. 
This project is a rehab of a 150 unit building that used to be dorms. The building is currently vacant. Operating statements would not be relevant and are therefore not included.</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1880</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2729</v>
      </c>
      <c r="C1130" s="1818"/>
      <c r="D1130" s="1818"/>
      <c r="E1130" s="1939"/>
      <c r="G1130" s="1844"/>
      <c r="H1130" s="1844"/>
      <c r="I1130" s="1844"/>
      <c r="J1130" s="1629"/>
      <c r="L1130" s="1940"/>
      <c r="M1130" s="1940"/>
      <c r="N1130" s="1940"/>
      <c r="O1130" s="1935" t="s">
        <v>1881</v>
      </c>
      <c r="P1130" s="1844">
        <f>'Part VIII-Threshold Criteria'!P36</f>
        <v>0</v>
      </c>
      <c r="Q1130" s="1844">
        <f>'Part VIII-Threshold Criteria'!Q36</f>
        <v>0</v>
      </c>
    </row>
    <row r="1131" spans="1:17" ht="12.75" customHeight="1">
      <c r="A1131" s="1941" t="s">
        <v>4767</v>
      </c>
      <c r="B1131" s="1941"/>
      <c r="C1131" s="1941"/>
      <c r="D1131" s="1941"/>
      <c r="E1131" s="1941"/>
      <c r="F1131" s="1941"/>
      <c r="G1131" s="1748" t="s">
        <v>2733</v>
      </c>
      <c r="H1131" s="1748"/>
      <c r="I1131" s="1933"/>
      <c r="J1131" s="1629"/>
      <c r="K1131" s="1933" t="s">
        <v>3660</v>
      </c>
      <c r="L1131" s="1933"/>
      <c r="M1131" s="1933"/>
      <c r="N1131" s="1933"/>
    </row>
    <row r="1132" spans="1:17" ht="13.5">
      <c r="A1132" s="1941"/>
      <c r="B1132" s="1941"/>
      <c r="C1132" s="1941"/>
      <c r="D1132" s="1941"/>
      <c r="E1132" s="1941"/>
      <c r="F1132" s="1941"/>
      <c r="G1132" s="1748" t="s">
        <v>348</v>
      </c>
      <c r="H1132" s="1748"/>
      <c r="I1132" s="1933"/>
      <c r="J1132" s="1629"/>
      <c r="K1132" s="478" t="s">
        <v>3661</v>
      </c>
      <c r="L1132" s="478"/>
      <c r="M1132" s="478"/>
      <c r="N1132" s="478"/>
      <c r="P1132" s="1761" t="s">
        <v>2753</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2732</v>
      </c>
      <c r="F1134" s="1944" t="s">
        <v>3476</v>
      </c>
      <c r="G1134" s="1944" t="s">
        <v>3475</v>
      </c>
      <c r="H1134" s="1944"/>
      <c r="I1134" s="1944"/>
      <c r="K1134" s="1944" t="s">
        <v>3476</v>
      </c>
      <c r="L1134" s="1944" t="s">
        <v>3475</v>
      </c>
      <c r="M1134" s="1944"/>
      <c r="N1134" s="1944"/>
    </row>
    <row r="1135" spans="1:17" ht="12.75" customHeight="1">
      <c r="A1135" s="1945" t="s">
        <v>3380</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3922</v>
      </c>
      <c r="Q1135" s="1832"/>
    </row>
    <row r="1136" spans="1:17" ht="12.75" customHeight="1">
      <c r="A1136" s="1945"/>
      <c r="B1136" s="1945"/>
      <c r="C1136" s="1945"/>
      <c r="D1136" s="1946" t="s">
        <v>2456</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Atlanta</v>
      </c>
      <c r="Q1136" s="1950">
        <f>'Part VIII-Threshold Criteria'!Q42</f>
        <v>0</v>
      </c>
    </row>
    <row r="1137" spans="1:17">
      <c r="A1137" s="1945"/>
      <c r="B1137" s="1945"/>
      <c r="C1137" s="1945"/>
      <c r="D1137" s="1946" t="s">
        <v>2457</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2458</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3657</v>
      </c>
      <c r="Q1138" s="1901"/>
    </row>
    <row r="1139" spans="1:17" ht="12.75" customHeight="1">
      <c r="C1139" s="1629"/>
      <c r="D1139" s="1946" t="s">
        <v>2459</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15349522</v>
      </c>
      <c r="Q1139" s="1951">
        <f>'Part VIII-Threshold Criteria'!Q45</f>
        <v>0</v>
      </c>
    </row>
    <row r="1140" spans="1:17" ht="12.75" customHeight="1">
      <c r="C1140" s="1629"/>
      <c r="D1140" s="1952" t="s">
        <v>3390</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3375</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4134</v>
      </c>
      <c r="Q1142" s="1792"/>
    </row>
    <row r="1143" spans="1:17" ht="12.75" customHeight="1">
      <c r="A1143" s="1945"/>
      <c r="B1143" s="1945"/>
      <c r="C1143" s="1945"/>
      <c r="D1143" s="1946" t="s">
        <v>2456</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2457</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2458</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2459</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3655</v>
      </c>
      <c r="Q1146" s="478"/>
    </row>
    <row r="1147" spans="1:17">
      <c r="C1147" s="1629"/>
      <c r="D1147" s="1952" t="s">
        <v>3390</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3267</v>
      </c>
      <c r="Q1147" s="1845" t="s">
        <v>258</v>
      </c>
    </row>
    <row r="1148" spans="1:17">
      <c r="C1148" s="1629"/>
      <c r="D1148" s="1959"/>
      <c r="E1148" s="1959"/>
      <c r="F1148" s="1960"/>
      <c r="G1148" s="1961"/>
      <c r="I1148" s="1960"/>
      <c r="K1148" s="1960"/>
      <c r="M1148" s="1939"/>
      <c r="N1148" s="1960"/>
      <c r="O1148" s="1963"/>
    </row>
    <row r="1149" spans="1:17">
      <c r="A1149" s="1748" t="s">
        <v>3376</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2456</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3656</v>
      </c>
      <c r="Q1150" s="478"/>
    </row>
    <row r="1151" spans="1:17">
      <c r="C1151" s="1629"/>
      <c r="D1151" s="1946" t="s">
        <v>2457</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3267</v>
      </c>
      <c r="Q1151" s="1845" t="s">
        <v>258</v>
      </c>
    </row>
    <row r="1152" spans="1:17">
      <c r="C1152" s="1629"/>
      <c r="D1152" s="1946" t="s">
        <v>2458</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2459</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2788</v>
      </c>
      <c r="Q1153" s="1965"/>
    </row>
    <row r="1154" spans="1:17" ht="12.75" customHeight="1">
      <c r="C1154" s="1629"/>
      <c r="D1154" s="1952" t="s">
        <v>3390</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3377</v>
      </c>
      <c r="C1156" s="1629"/>
      <c r="D1156" s="1946" t="s">
        <v>573</v>
      </c>
      <c r="E1156" s="1934">
        <v>0</v>
      </c>
      <c r="F1156" s="1947">
        <f>'Part VI-Revenues &amp; Expenses'!$J$110</f>
        <v>95</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95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2456</v>
      </c>
      <c r="E1157" s="1934">
        <v>1</v>
      </c>
      <c r="F1157" s="1947">
        <f>'Part VI-Revenues &amp; Expenses'!$K$110</f>
        <v>28</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28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15349522</v>
      </c>
      <c r="Q1157" s="1966">
        <f>'Part VIII-Threshold Criteria'!Q63</f>
        <v>0</v>
      </c>
    </row>
    <row r="1158" spans="1:17" ht="12.75" customHeight="1">
      <c r="C1158" s="1629"/>
      <c r="D1158" s="1946" t="s">
        <v>2457</v>
      </c>
      <c r="E1158" s="1934">
        <v>2</v>
      </c>
      <c r="F1158" s="1947">
        <f>'Part VI-Revenues &amp; Expenses'!$L$110</f>
        <v>0</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0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2458</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4546</v>
      </c>
      <c r="Q1159" s="1927"/>
    </row>
    <row r="1160" spans="1:17">
      <c r="C1160" s="1629"/>
      <c r="D1160" s="1946" t="s">
        <v>2459</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3390</v>
      </c>
      <c r="E1161" s="1953"/>
      <c r="F1161" s="1954">
        <f>SUM(F1156:F1160)</f>
        <v>123</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3391</v>
      </c>
      <c r="B1163" s="1629"/>
      <c r="C1163" s="1629"/>
      <c r="D1163" s="1629"/>
      <c r="E1163" s="1830"/>
      <c r="F1163" s="1970">
        <f>F1140+F1147+F1154+F1161</f>
        <v>123</v>
      </c>
      <c r="G1163" s="1695"/>
      <c r="H1163" s="1971">
        <f>'Part VIII-Threshold Criteria'!H69</f>
        <v>15349522</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3779</v>
      </c>
      <c r="D1164" s="1873"/>
      <c r="E1164" s="1873"/>
      <c r="F1164" s="1873"/>
      <c r="G1164" s="1873"/>
      <c r="H1164" s="1872"/>
      <c r="I1164" s="1934"/>
      <c r="J1164" s="1934"/>
      <c r="K1164" s="1937" t="s">
        <v>1880</v>
      </c>
      <c r="L1164" s="1836"/>
      <c r="M1164" s="1836"/>
      <c r="N1164" s="1836"/>
      <c r="O1164" s="1836"/>
      <c r="P1164" s="1836"/>
      <c r="Q1164" s="1836"/>
    </row>
    <row r="1165" spans="1:17" ht="56.25">
      <c r="A1165" s="1936" t="str">
        <f>'Part VIII-Threshold Criteria'!A71</f>
        <v>Our costs at the PCL: TDC is $15,349,522.</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Other Non-Senior</v>
      </c>
      <c r="K1167" s="1933">
        <f>'Part VIII-Threshold Criteria'!K73</f>
        <v>0</v>
      </c>
      <c r="L1167" s="1933">
        <f>'Part VIII-Threshold Criteria'!L73</f>
        <v>0</v>
      </c>
      <c r="O1167" s="1935" t="s">
        <v>1881</v>
      </c>
      <c r="P1167" s="1844">
        <f>'Part VIII-Threshold Criteria'!P73</f>
        <v>0</v>
      </c>
      <c r="Q1167" s="1844">
        <f>'Part VIII-Threshold Criteria'!Q73</f>
        <v>0</v>
      </c>
    </row>
    <row r="1168" spans="1:17">
      <c r="B1168" s="1873" t="s">
        <v>3779</v>
      </c>
      <c r="D1168" s="1873"/>
      <c r="E1168" s="1873"/>
      <c r="F1168" s="1873"/>
      <c r="G1168" s="1873"/>
      <c r="H1168" s="1872"/>
      <c r="I1168" s="1934"/>
      <c r="J1168" s="1934"/>
      <c r="K1168" s="1937" t="s">
        <v>1880</v>
      </c>
      <c r="L1168" s="1836"/>
      <c r="M1168" s="1836"/>
      <c r="N1168" s="1836"/>
      <c r="O1168" s="1836"/>
      <c r="P1168" s="1836"/>
      <c r="Q1168" s="1836"/>
    </row>
    <row r="1169" spans="1:17" ht="213.75">
      <c r="A1169" s="1936" t="str">
        <f>'Part VIII-Threshold Criteria'!A75</f>
        <v>Tenancy is Other Non-Senior. We will set aside 24 units that will provide permanent supportive housing to single 18 – 24 year old men and women who are aging out of the foster care system.</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2669</v>
      </c>
      <c r="C1171" s="1969"/>
      <c r="D1171" s="1939"/>
      <c r="E1171" s="1939"/>
      <c r="F1171" s="1939"/>
      <c r="G1171" s="1939"/>
      <c r="H1171" s="1939"/>
      <c r="I1171" s="1939"/>
      <c r="J1171" s="1939"/>
      <c r="K1171" s="1939"/>
      <c r="L1171" s="1939"/>
      <c r="M1171" s="1939"/>
      <c r="O1171" s="1935" t="s">
        <v>1881</v>
      </c>
      <c r="P1171" s="1844">
        <f>'Part VIII-Threshold Criteria'!P77</f>
        <v>0</v>
      </c>
      <c r="Q1171" s="1844">
        <f>'Part VIII-Threshold Criteria'!Q77</f>
        <v>0</v>
      </c>
    </row>
    <row r="1173" spans="1:17">
      <c r="A1173" s="1973" t="s">
        <v>1999</v>
      </c>
      <c r="B1173" s="1961" t="s">
        <v>3769</v>
      </c>
      <c r="D1173" s="1961"/>
      <c r="E1173" s="1961"/>
      <c r="F1173" s="1961"/>
      <c r="G1173" s="1961"/>
      <c r="H1173" s="1961"/>
      <c r="I1173" s="1961"/>
      <c r="K1173" s="1961"/>
      <c r="L1173" s="1961"/>
      <c r="M1173" s="1974" t="s">
        <v>3723</v>
      </c>
      <c r="O1173" s="1936"/>
      <c r="P1173" s="1942" t="str">
        <f>'Part VIII-Threshold Criteria'!P79</f>
        <v>Agree</v>
      </c>
    </row>
    <row r="1174" spans="1:17">
      <c r="A1174" s="1975" t="s">
        <v>2001</v>
      </c>
      <c r="B1174" s="1872" t="s">
        <v>3768</v>
      </c>
      <c r="D1174" s="1872"/>
      <c r="E1174" s="1872"/>
      <c r="F1174" s="1872"/>
      <c r="G1174" s="1872"/>
      <c r="H1174" s="1872"/>
      <c r="I1174" s="1872"/>
      <c r="J1174" s="1872"/>
      <c r="K1174" s="1872"/>
      <c r="L1174" s="1872"/>
      <c r="M1174" s="1872"/>
      <c r="O1174" s="1872"/>
      <c r="P1174" s="1872"/>
      <c r="Q1174" s="1872"/>
    </row>
    <row r="1175" spans="1:17" ht="33.75">
      <c r="A1175" s="1976"/>
      <c r="B1175" s="1977" t="s">
        <v>1750</v>
      </c>
      <c r="C1175" s="1872" t="s">
        <v>3507</v>
      </c>
      <c r="E1175" s="1866"/>
      <c r="F1175" s="1866"/>
      <c r="G1175" s="1866"/>
      <c r="H1175" s="1629"/>
      <c r="I1175" s="478" t="s">
        <v>2723</v>
      </c>
      <c r="J1175" s="1978" t="str">
        <f>'Part VIII-Threshold Criteria'!J81</f>
        <v xml:space="preserve"> Monthly holiday events, monthly arts &amp; crafts </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33.75">
      <c r="A1176" s="1976"/>
      <c r="B1176" s="1977" t="s">
        <v>1751</v>
      </c>
      <c r="C1176" s="1872" t="s">
        <v>3605</v>
      </c>
      <c r="E1176" s="1866"/>
      <c r="F1176" s="1866"/>
      <c r="G1176" s="1866"/>
      <c r="H1176" s="1629"/>
      <c r="I1176" s="478" t="s">
        <v>2723</v>
      </c>
      <c r="J1176" s="1978" t="str">
        <f>'Part VIII-Threshold Criteria'!J82</f>
        <v>Daily referral and information services</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90">
      <c r="A1177" s="1976"/>
      <c r="B1177" s="1977" t="s">
        <v>1752</v>
      </c>
      <c r="C1177" s="1872" t="s">
        <v>3606</v>
      </c>
      <c r="E1177" s="1866"/>
      <c r="F1177" s="1866"/>
      <c r="G1177" s="1866"/>
      <c r="H1177" s="1629"/>
      <c r="I1177" s="478" t="s">
        <v>2723</v>
      </c>
      <c r="J1177" s="1978" t="str">
        <f>'Part VIII-Threshold Criteria'!J83</f>
        <v xml:space="preserve"> Weekly/monthly health screenings, community garden classes, and monthly nutrition/healthy eating classes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2381</v>
      </c>
      <c r="C1178" s="1872" t="s">
        <v>3933</v>
      </c>
      <c r="E1178" s="1866"/>
      <c r="I1178" s="478" t="s">
        <v>2723</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3591</v>
      </c>
      <c r="D1179" s="1872"/>
      <c r="E1179" s="1866"/>
      <c r="J1179" s="478"/>
      <c r="K1179" s="478"/>
      <c r="L1179" s="478"/>
      <c r="M1179" s="478"/>
      <c r="N1179" s="478"/>
      <c r="O1179" s="478"/>
      <c r="P1179" s="478"/>
      <c r="Q1179" s="478"/>
    </row>
    <row r="1180" spans="1:17">
      <c r="A1180" s="1976"/>
      <c r="B1180" s="1156" t="s">
        <v>3924</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3779</v>
      </c>
      <c r="D1181" s="1873"/>
      <c r="E1181" s="1873"/>
      <c r="F1181" s="1873"/>
      <c r="G1181" s="1873"/>
      <c r="H1181" s="1872"/>
      <c r="I1181" s="1934"/>
      <c r="J1181" s="1934"/>
      <c r="K1181" s="1937" t="s">
        <v>1880</v>
      </c>
      <c r="L1181" s="1836"/>
      <c r="M1181" s="1836"/>
      <c r="N1181" s="1836"/>
      <c r="O1181" s="1836"/>
      <c r="P1181" s="1836"/>
      <c r="Q1181" s="1836"/>
    </row>
    <row r="1182" spans="1:17" ht="112.5">
      <c r="A1182" s="1936" t="str">
        <f>'Part VIII-Threshold Criteria'!A88</f>
        <v>We are committed to provide services described in this section as required for our tenant base.</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2670</v>
      </c>
      <c r="C1184" s="1819"/>
      <c r="D1184" s="1939"/>
      <c r="E1184" s="1939"/>
      <c r="F1184" s="1939"/>
      <c r="G1184" s="1939"/>
      <c r="H1184" s="1939"/>
      <c r="I1184" s="1939"/>
      <c r="J1184" s="1939"/>
      <c r="K1184" s="1939"/>
      <c r="O1184" s="1935" t="s">
        <v>1881</v>
      </c>
      <c r="P1184" s="1844">
        <f>'Part VIII-Threshold Criteria'!P90</f>
        <v>0</v>
      </c>
      <c r="Q1184" s="1844">
        <f>'Part VIII-Threshold Criteria'!Q90</f>
        <v>0</v>
      </c>
    </row>
    <row r="1186" spans="1:17">
      <c r="A1186" s="1975" t="s">
        <v>1999</v>
      </c>
      <c r="B1186" s="1156" t="s">
        <v>2476</v>
      </c>
      <c r="D1186" s="1901"/>
      <c r="E1186" s="1901"/>
      <c r="F1186" s="1901"/>
      <c r="G1186" s="1901"/>
      <c r="H1186" s="1901"/>
      <c r="I1186" s="1629"/>
      <c r="J1186" s="1629"/>
      <c r="K1186" s="1629"/>
      <c r="L1186" s="1977" t="s">
        <v>1999</v>
      </c>
      <c r="M1186" s="1933" t="str">
        <f>'Part VIII-Threshold Criteria'!M92</f>
        <v>Allen and Associates</v>
      </c>
      <c r="N1186" s="1933">
        <f>'Part VIII-Threshold Criteria'!N92</f>
        <v>0</v>
      </c>
      <c r="O1186" s="1933">
        <f>'Part VIII-Threshold Criteria'!O92</f>
        <v>0</v>
      </c>
      <c r="P1186" s="1629">
        <f>'Part VIII-Threshold Criteria'!P92</f>
        <v>0</v>
      </c>
      <c r="Q1186" s="1942">
        <f>'Part VIII-Threshold Criteria'!Q92</f>
        <v>0</v>
      </c>
    </row>
    <row r="1187" spans="1:17">
      <c r="A1187" s="1975" t="s">
        <v>2001</v>
      </c>
      <c r="B1187" s="478" t="s">
        <v>2052</v>
      </c>
      <c r="D1187" s="1901"/>
      <c r="E1187" s="1901"/>
      <c r="F1187" s="1901"/>
      <c r="L1187" s="1977" t="s">
        <v>2001</v>
      </c>
      <c r="M1187" s="1933">
        <f>'Part VIII-Threshold Criteria'!M93</f>
        <v>7</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2898</v>
      </c>
      <c r="D1188" s="1901"/>
      <c r="E1188" s="1901"/>
      <c r="F1188" s="1901"/>
      <c r="L1188" s="1977" t="s">
        <v>757</v>
      </c>
      <c r="M1188" s="1979">
        <f>'Part VIII-Threshold Criteria'!M94</f>
        <v>0.94</v>
      </c>
      <c r="N1188" s="1979">
        <f>'Part VIII-Threshold Criteria'!N94</f>
        <v>0</v>
      </c>
      <c r="O1188" s="1979">
        <f>'Part VIII-Threshold Criteria'!O94</f>
        <v>0</v>
      </c>
      <c r="P1188" s="1980">
        <f>'Part VIII-Threshold Criteria'!P94</f>
        <v>0</v>
      </c>
      <c r="Q1188" s="1942">
        <f>'Part VIII-Threshold Criteria'!Q94</f>
        <v>0</v>
      </c>
    </row>
    <row r="1189" spans="1:17">
      <c r="A1189" s="1975" t="s">
        <v>2131</v>
      </c>
      <c r="B1189" s="478" t="s">
        <v>3926</v>
      </c>
      <c r="D1189" s="1901"/>
      <c r="E1189" s="1901"/>
      <c r="F1189" s="1901"/>
      <c r="L1189" s="1977" t="s">
        <v>3927</v>
      </c>
      <c r="M1189" s="1981">
        <f>'Part VIII-Threshold Criteria'!M95</f>
        <v>0.09</v>
      </c>
      <c r="N1189" s="1979"/>
      <c r="O1189" s="1982" t="s">
        <v>4177</v>
      </c>
      <c r="P1189" s="1983">
        <f>'Part VIII-Threshold Criteria'!P95</f>
        <v>0</v>
      </c>
      <c r="Q1189" s="1942">
        <f>'Part VIII-Threshold Criteria'!Q95</f>
        <v>0</v>
      </c>
    </row>
    <row r="1190" spans="1:17">
      <c r="A1190" s="1973" t="s">
        <v>1748</v>
      </c>
      <c r="B1190" s="1961" t="s">
        <v>3925</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2394</v>
      </c>
      <c r="E1191" s="1872" t="s">
        <v>623</v>
      </c>
      <c r="F1191" s="1872"/>
      <c r="H1191" s="478"/>
      <c r="I1191" s="1934" t="s">
        <v>2394</v>
      </c>
      <c r="J1191" s="1872" t="s">
        <v>623</v>
      </c>
      <c r="K1191" s="1872"/>
      <c r="M1191" s="478"/>
      <c r="N1191" s="1934" t="s">
        <v>2394</v>
      </c>
      <c r="O1191" s="1872" t="s">
        <v>623</v>
      </c>
      <c r="P1191" s="1872"/>
      <c r="Q1191" s="1977"/>
    </row>
    <row r="1192" spans="1:17">
      <c r="C1192" s="1977" t="s">
        <v>1750</v>
      </c>
      <c r="D1192" s="1942" t="str">
        <f>'Part VIII-Threshold Criteria'!D98</f>
        <v>2003-511</v>
      </c>
      <c r="E1192" s="1933" t="str">
        <f>'Part VIII-Threshold Criteria'!E98</f>
        <v>Ashley College Town Phase I</v>
      </c>
      <c r="F1192" s="1933">
        <f>'Part VIII-Threshold Criteria'!F98</f>
        <v>0</v>
      </c>
      <c r="G1192" s="1933">
        <f>'Part VIII-Threshold Criteria'!G98</f>
        <v>0</v>
      </c>
      <c r="H1192" s="1977" t="s">
        <v>1752</v>
      </c>
      <c r="I1192" s="1942" t="str">
        <f>'Part VIII-Threshold Criteria'!I98</f>
        <v>2003-026</v>
      </c>
      <c r="J1192" s="1933" t="str">
        <f>'Part VIII-Threshold Criteria'!J98</f>
        <v>Columbia Crest</v>
      </c>
      <c r="K1192" s="1933">
        <f>'Part VIII-Threshold Criteria'!K98</f>
        <v>0</v>
      </c>
      <c r="L1192" s="1933">
        <f>'Part VIII-Threshold Criteria'!L98</f>
        <v>0</v>
      </c>
      <c r="M1192" s="1977" t="s">
        <v>1561</v>
      </c>
      <c r="N1192" s="1942" t="str">
        <f>'Part VIII-Threshold Criteria'!N98</f>
        <v>1998-501</v>
      </c>
      <c r="O1192" s="1933" t="str">
        <f>'Part VIII-Threshold Criteria'!O98</f>
        <v>Magnolia Park Apartments Ph I</v>
      </c>
      <c r="P1192" s="1933">
        <f>'Part VIII-Threshold Criteria'!P98</f>
        <v>0</v>
      </c>
      <c r="Q1192" s="1933">
        <f>'Part VIII-Threshold Criteria'!Q98</f>
        <v>0</v>
      </c>
    </row>
    <row r="1193" spans="1:17">
      <c r="C1193" s="1977" t="s">
        <v>1751</v>
      </c>
      <c r="D1193" s="1942" t="str">
        <f>'Part VIII-Threshold Criteria'!D99</f>
        <v>2001-076</v>
      </c>
      <c r="E1193" s="1933" t="str">
        <f>'Part VIII-Threshold Criteria'!E99</f>
        <v>Columbia Estates</v>
      </c>
      <c r="F1193" s="1933">
        <f>'Part VIII-Threshold Criteria'!F99</f>
        <v>0</v>
      </c>
      <c r="G1193" s="1933">
        <f>'Part VIII-Threshold Criteria'!G99</f>
        <v>0</v>
      </c>
      <c r="H1193" s="1977" t="s">
        <v>2381</v>
      </c>
      <c r="I1193" s="1942" t="str">
        <f>'Part VIII-Threshold Criteria'!I99</f>
        <v>2002-059</v>
      </c>
      <c r="J1193" s="1933" t="str">
        <f>'Part VIII-Threshold Criteria'!J99</f>
        <v>Columbia Park Citi Residences</v>
      </c>
      <c r="K1193" s="1933">
        <f>'Part VIII-Threshold Criteria'!K99</f>
        <v>0</v>
      </c>
      <c r="L1193" s="1933">
        <f>'Part VIII-Threshold Criteria'!L99</f>
        <v>0</v>
      </c>
      <c r="M1193" s="1977" t="s">
        <v>1562</v>
      </c>
      <c r="N1193" s="1942">
        <f>'Part VIII-Threshold Criteria'!N99</f>
        <v>0</v>
      </c>
      <c r="O1193" s="1933">
        <f>'Part VIII-Threshold Criteria'!O99</f>
        <v>0</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2527</v>
      </c>
    </row>
    <row r="1196" spans="1:17" ht="12.75" customHeight="1">
      <c r="A1196" s="1973" t="s">
        <v>1962</v>
      </c>
      <c r="B1196" s="1936" t="s">
        <v>3638</v>
      </c>
      <c r="C1196" s="1936"/>
      <c r="D1196" s="1936"/>
      <c r="E1196" s="1936"/>
      <c r="F1196" s="1936"/>
      <c r="G1196" s="1936"/>
      <c r="H1196" s="1936"/>
      <c r="I1196" s="1936"/>
      <c r="J1196" s="1936"/>
      <c r="K1196" s="1936"/>
      <c r="L1196" s="1936"/>
      <c r="M1196" s="1936"/>
      <c r="N1196" s="1936"/>
      <c r="O1196" s="1936"/>
      <c r="P1196" s="1987" t="s">
        <v>1962</v>
      </c>
      <c r="Q1196" s="1988">
        <f>'Part VIII-Threshold Criteria'!Q102</f>
        <v>0</v>
      </c>
    </row>
    <row r="1197" spans="1:17" ht="12.75" customHeight="1">
      <c r="A1197" s="1973" t="s">
        <v>3392</v>
      </c>
      <c r="B1197" s="1936" t="s">
        <v>2748</v>
      </c>
      <c r="C1197" s="1936"/>
      <c r="D1197" s="1936"/>
      <c r="E1197" s="1936"/>
      <c r="F1197" s="1936"/>
      <c r="G1197" s="1936"/>
      <c r="H1197" s="1936"/>
      <c r="I1197" s="1936"/>
      <c r="J1197" s="1936"/>
      <c r="K1197" s="1936"/>
      <c r="L1197" s="1936"/>
      <c r="M1197" s="1936"/>
      <c r="N1197" s="1936"/>
      <c r="O1197" s="1936"/>
      <c r="P1197" s="1987" t="s">
        <v>3392</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3393</v>
      </c>
      <c r="B1199" s="1961" t="s">
        <v>3639</v>
      </c>
      <c r="C1199" s="1953"/>
      <c r="D1199" s="1953"/>
      <c r="E1199" s="1953"/>
      <c r="F1199" s="1953"/>
      <c r="G1199" s="1953"/>
      <c r="H1199" s="1953"/>
      <c r="I1199" s="1953"/>
      <c r="J1199" s="1953"/>
      <c r="K1199" s="1953"/>
      <c r="L1199" s="1989"/>
      <c r="M1199" s="1953"/>
      <c r="N1199" s="1985"/>
      <c r="O1199" s="1953"/>
      <c r="P1199" s="1977" t="s">
        <v>3393</v>
      </c>
      <c r="Q1199" s="1988">
        <f>'Part VIII-Threshold Criteria'!Q105</f>
        <v>0</v>
      </c>
    </row>
    <row r="1200" spans="1:17">
      <c r="B1200" s="1873" t="s">
        <v>3779</v>
      </c>
      <c r="D1200" s="1873"/>
      <c r="E1200" s="1873"/>
      <c r="F1200" s="1873"/>
      <c r="G1200" s="1873"/>
      <c r="H1200" s="1872"/>
      <c r="I1200" s="1934"/>
      <c r="J1200" s="1934"/>
      <c r="K1200" s="1934"/>
      <c r="L1200" s="1836"/>
      <c r="M1200" s="1836"/>
      <c r="N1200" s="1836"/>
      <c r="O1200" s="1836"/>
      <c r="P1200" s="1836"/>
      <c r="Q1200" s="1836"/>
    </row>
    <row r="1201" spans="1:17" ht="409.5">
      <c r="A1201" s="1936" t="str">
        <f>'Part VIII-Threshold Criteria'!A107</f>
        <v>Market Study supports the proposed project, there is no significant adverse impact to the occupancy and financial health of existing assisted rental housing properties in the market area and meets all threshold requirements, see Tab 5 of the application. 
Overall stabilized occupancy for family properties is 94% and is found on p. 7 of study.  The 9% capture rate for tax credit units is obtained by dividing the total 123 units by the combined net demand for 50% AMI units and 60% AMI units.</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1880</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2671</v>
      </c>
      <c r="C1204" s="1819"/>
      <c r="D1204" s="1939"/>
      <c r="E1204" s="1939"/>
      <c r="F1204" s="1939"/>
      <c r="G1204" s="1939"/>
      <c r="H1204" s="1939"/>
      <c r="I1204" s="1939"/>
      <c r="J1204" s="1939"/>
      <c r="K1204" s="1939"/>
      <c r="L1204" s="1939"/>
      <c r="M1204" s="1939"/>
      <c r="O1204" s="1935" t="s">
        <v>1881</v>
      </c>
      <c r="P1204" s="1844">
        <f>'Part VIII-Threshold Criteria'!P110</f>
        <v>0</v>
      </c>
      <c r="Q1204" s="1844">
        <f>'Part VIII-Threshold Criteria'!Q110</f>
        <v>0</v>
      </c>
    </row>
    <row r="1206" spans="1:17">
      <c r="A1206" s="1975" t="s">
        <v>1999</v>
      </c>
      <c r="B1206" s="478" t="s">
        <v>498</v>
      </c>
      <c r="C1206" s="478"/>
      <c r="E1206" s="478"/>
      <c r="F1206" s="478"/>
      <c r="G1206" s="478"/>
      <c r="H1206" s="478"/>
      <c r="I1206" s="478"/>
      <c r="J1206" s="478"/>
      <c r="K1206" s="478"/>
      <c r="L1206" s="478"/>
      <c r="M1206" s="478"/>
      <c r="O1206" s="1977" t="s">
        <v>1999</v>
      </c>
      <c r="P1206" s="1942" t="str">
        <f>'Part VIII-Threshold Criteria'!P112</f>
        <v>Yes</v>
      </c>
      <c r="Q1206" s="1942">
        <f>'Part VIII-Threshold Criteria'!Q112</f>
        <v>0</v>
      </c>
    </row>
    <row r="1207" spans="1:17">
      <c r="A1207" s="1975" t="s">
        <v>2001</v>
      </c>
      <c r="B1207" s="478" t="s">
        <v>1316</v>
      </c>
      <c r="C1207" s="478"/>
      <c r="E1207" s="478"/>
      <c r="F1207" s="478"/>
      <c r="G1207" s="478"/>
      <c r="H1207" s="478"/>
      <c r="I1207" s="478"/>
      <c r="J1207" s="478"/>
      <c r="K1207" s="478"/>
      <c r="L1207" s="1872"/>
      <c r="M1207" s="1872"/>
      <c r="O1207" s="1977" t="s">
        <v>2001</v>
      </c>
      <c r="P1207" s="1942" t="str">
        <f>'Part VIII-Threshold Criteria'!P113</f>
        <v>Yes</v>
      </c>
      <c r="Q1207" s="1942">
        <f>'Part VIII-Threshold Criteria'!Q113</f>
        <v>0</v>
      </c>
    </row>
    <row r="1208" spans="1:17">
      <c r="A1208" s="478"/>
      <c r="C1208" s="478" t="s">
        <v>559</v>
      </c>
      <c r="E1208" s="1629"/>
      <c r="F1208" s="1629"/>
      <c r="G1208" s="1629"/>
      <c r="H1208" s="1629"/>
      <c r="I1208" s="1629"/>
      <c r="L1208" s="1977" t="s">
        <v>560</v>
      </c>
      <c r="M1208" s="1933" t="str">
        <f>'Part VIII-Threshold Criteria'!M114</f>
        <v>Allen and Associates</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3494</v>
      </c>
      <c r="D1209" s="1990"/>
      <c r="E1209" s="1990"/>
      <c r="F1209" s="1990"/>
      <c r="G1209" s="1990"/>
      <c r="H1209" s="1990"/>
      <c r="I1209" s="1990"/>
      <c r="J1209" s="1990"/>
      <c r="K1209" s="1990"/>
      <c r="L1209" s="1990"/>
      <c r="M1209" s="1990"/>
      <c r="O1209" s="1987" t="s">
        <v>1750</v>
      </c>
      <c r="P1209" s="1942" t="str">
        <f>'Part VIII-Threshold Criteria'!P115</f>
        <v>Yes</v>
      </c>
      <c r="Q1209" s="1942">
        <f>'Part VIII-Threshold Criteria'!Q115</f>
        <v>0</v>
      </c>
    </row>
    <row r="1210" spans="1:17">
      <c r="A1210" s="1934"/>
      <c r="B1210" s="1977" t="s">
        <v>1751</v>
      </c>
      <c r="C1210" s="1872" t="s">
        <v>3495</v>
      </c>
      <c r="D1210" s="1990"/>
      <c r="E1210" s="1990"/>
      <c r="F1210" s="1990"/>
      <c r="G1210" s="1990"/>
      <c r="H1210" s="1990"/>
      <c r="I1210" s="1990"/>
      <c r="J1210" s="1990"/>
      <c r="K1210" s="1990"/>
      <c r="L1210" s="1990"/>
      <c r="M1210" s="1990"/>
      <c r="O1210" s="1977" t="s">
        <v>1751</v>
      </c>
      <c r="P1210" s="1942" t="str">
        <f>'Part VIII-Threshold Criteria'!P116</f>
        <v>Yes</v>
      </c>
      <c r="Q1210" s="1942">
        <f>'Part VIII-Threshold Criteria'!Q116</f>
        <v>0</v>
      </c>
    </row>
    <row r="1211" spans="1:17">
      <c r="A1211" s="1934"/>
      <c r="B1211" s="1987" t="s">
        <v>1752</v>
      </c>
      <c r="C1211" s="1872" t="s">
        <v>2899</v>
      </c>
      <c r="D1211" s="1872"/>
      <c r="E1211" s="1872"/>
      <c r="F1211" s="1872"/>
      <c r="G1211" s="1872"/>
      <c r="H1211" s="1872"/>
      <c r="I1211" s="1872"/>
      <c r="J1211" s="1872"/>
      <c r="K1211" s="1872"/>
      <c r="L1211" s="1872"/>
      <c r="M1211" s="1874"/>
      <c r="O1211" s="1987" t="s">
        <v>1752</v>
      </c>
      <c r="P1211" s="1942" t="str">
        <f>'Part VIII-Threshold Criteria'!P117</f>
        <v>Yes</v>
      </c>
      <c r="Q1211" s="1942">
        <f>'Part VIII-Threshold Criteria'!Q117</f>
        <v>0</v>
      </c>
    </row>
    <row r="1212" spans="1:17" ht="12.75" customHeight="1">
      <c r="A1212" s="1991"/>
      <c r="B1212" s="1987" t="s">
        <v>2381</v>
      </c>
      <c r="C1212" s="1936" t="s">
        <v>2706</v>
      </c>
      <c r="D1212" s="1936"/>
      <c r="E1212" s="1936"/>
      <c r="F1212" s="1936"/>
      <c r="G1212" s="1936"/>
      <c r="H1212" s="1936"/>
      <c r="I1212" s="1936"/>
      <c r="J1212" s="1936"/>
      <c r="K1212" s="1936"/>
      <c r="L1212" s="1936"/>
      <c r="M1212" s="1936"/>
      <c r="N1212" s="1936"/>
      <c r="O1212" s="1987" t="s">
        <v>2381</v>
      </c>
      <c r="P1212" s="1988" t="str">
        <f>'Part VIII-Threshold Criteria'!P118</f>
        <v>Yes</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t="str">
        <f>'Part VIII-Threshold Criteria'!P119</f>
        <v>No</v>
      </c>
      <c r="Q1213" s="1942">
        <f>'Part VIII-Threshold Criteria'!Q119</f>
        <v>0</v>
      </c>
    </row>
    <row r="1214" spans="1:17">
      <c r="A1214" s="1975" t="s">
        <v>2131</v>
      </c>
      <c r="B1214" s="478" t="s">
        <v>1440</v>
      </c>
      <c r="D1214" s="478"/>
      <c r="E1214" s="478"/>
      <c r="G1214" s="478"/>
      <c r="I1214" s="478"/>
      <c r="K1214" s="478"/>
      <c r="L1214" s="1872"/>
      <c r="M1214" s="1872"/>
      <c r="N1214" s="1872"/>
      <c r="O1214" s="1977" t="s">
        <v>2131</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No</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No</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3779</v>
      </c>
      <c r="D1218" s="1873"/>
      <c r="E1218" s="1873"/>
      <c r="F1218" s="1873"/>
      <c r="G1218" s="1873"/>
      <c r="H1218" s="1872"/>
      <c r="I1218" s="1934"/>
      <c r="J1218" s="1934"/>
      <c r="K1218" s="1934"/>
      <c r="L1218" s="1836"/>
      <c r="M1218" s="1836"/>
      <c r="N1218" s="1836"/>
      <c r="O1218" s="1836"/>
      <c r="P1218" s="1836"/>
      <c r="Q1218" s="1836"/>
    </row>
    <row r="1219" spans="1:17" ht="236.25">
      <c r="A1219" s="1936" t="str">
        <f>'Part VIII-Threshold Criteria'!A125</f>
        <v>The appraisal was prepared in conformance with the 2018 Appraisal Manual. The value of the land per the appraisal is higher than the purchase price of the property. A copy of the appraisal is found in Tab 6</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1880</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2672</v>
      </c>
      <c r="C1222" s="1872"/>
      <c r="D1222" s="1939"/>
      <c r="E1222" s="1939"/>
      <c r="F1222" s="1939"/>
      <c r="G1222" s="1939"/>
      <c r="H1222" s="1939"/>
      <c r="I1222" s="1939"/>
      <c r="J1222" s="1939"/>
      <c r="K1222" s="1939"/>
      <c r="L1222" s="1939"/>
      <c r="M1222" s="1939"/>
      <c r="O1222" s="1935" t="s">
        <v>1881</v>
      </c>
      <c r="P1222" s="1844">
        <f>'Part VIII-Threshold Criteria'!P128</f>
        <v>0</v>
      </c>
      <c r="Q1222" s="1844">
        <f>'Part VIII-Threshold Criteria'!Q128</f>
        <v>0</v>
      </c>
    </row>
    <row r="1224" spans="1:17">
      <c r="A1224" s="1975" t="s">
        <v>1999</v>
      </c>
      <c r="B1224" s="478" t="s">
        <v>3662</v>
      </c>
      <c r="D1224" s="1901"/>
      <c r="E1224" s="1901"/>
      <c r="F1224" s="1901"/>
      <c r="G1224" s="1901"/>
      <c r="H1224" s="1901"/>
      <c r="I1224" s="1629"/>
      <c r="J1224" s="1629"/>
      <c r="K1224" s="1977" t="s">
        <v>1999</v>
      </c>
      <c r="L1224" s="1844" t="str">
        <f>'Part VIII-Threshold Criteria'!L130</f>
        <v>United Consulting</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2001</v>
      </c>
      <c r="B1225" s="478" t="s">
        <v>1550</v>
      </c>
      <c r="D1225" s="1901"/>
      <c r="E1225" s="1901"/>
      <c r="F1225" s="1901"/>
      <c r="G1225" s="1901"/>
      <c r="H1225" s="1901"/>
      <c r="I1225" s="1629"/>
      <c r="J1225" s="1629"/>
      <c r="K1225" s="1901"/>
      <c r="L1225" s="1866"/>
      <c r="O1225" s="1977" t="s">
        <v>2001</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2705</v>
      </c>
      <c r="E1227" s="1901"/>
      <c r="F1227" s="1901"/>
      <c r="G1227" s="1901"/>
      <c r="H1227" s="1901"/>
      <c r="I1227" s="1629"/>
      <c r="J1227" s="1629"/>
      <c r="K1227" s="1977" t="s">
        <v>1750</v>
      </c>
      <c r="L1227" s="1844" t="str">
        <f>'Part VIII-Threshold Criteria'!L133</f>
        <v>Arpeggio Acoustic Consulting</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3496</v>
      </c>
      <c r="E1228" s="1629"/>
      <c r="F1228" s="1629"/>
      <c r="G1228" s="1629"/>
      <c r="H1228" s="478"/>
      <c r="I1228" s="1629"/>
      <c r="J1228" s="1629"/>
      <c r="K1228" s="1901"/>
      <c r="L1228" s="1866"/>
      <c r="M1228" s="1866"/>
      <c r="O1228" s="1977" t="s">
        <v>1751</v>
      </c>
      <c r="P1228" s="1942">
        <f>'Part VIII-Threshold Criteria'!P134</f>
        <v>61</v>
      </c>
      <c r="Q1228" s="1942">
        <f>'Part VIII-Threshold Criteria'!Q134</f>
        <v>0</v>
      </c>
    </row>
    <row r="1229" spans="1:17">
      <c r="A1229" s="1855"/>
      <c r="B1229" s="1977" t="s">
        <v>1752</v>
      </c>
      <c r="C1229" s="478" t="s">
        <v>4164</v>
      </c>
      <c r="E1229" s="1629"/>
      <c r="F1229" s="1629"/>
      <c r="G1229" s="1629"/>
      <c r="H1229" s="478"/>
      <c r="I1229" s="1629"/>
      <c r="J1229" s="1629"/>
      <c r="K1229" s="1901"/>
      <c r="L1229" s="1866"/>
      <c r="M1229" s="1866"/>
      <c r="N1229" s="1866"/>
      <c r="O1229" s="1866"/>
    </row>
    <row r="1230" spans="1:17" ht="33.75">
      <c r="A1230" s="1836"/>
      <c r="B1230" s="1977"/>
      <c r="C1230" s="1901" t="str">
        <f>'Part VIII-Threshold Criteria'!C136</f>
        <v>West Lake Ave NW, CSX, MARTA</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2131</v>
      </c>
      <c r="B1231" s="478" t="s">
        <v>1272</v>
      </c>
      <c r="D1231" s="1901"/>
      <c r="E1231" s="1901"/>
      <c r="F1231" s="1901"/>
      <c r="G1231" s="1901"/>
      <c r="H1231" s="1901"/>
      <c r="I1231" s="1629"/>
      <c r="J1231" s="1629"/>
      <c r="K1231" s="1901"/>
      <c r="L1231" s="1866"/>
      <c r="M1231" s="1866"/>
      <c r="N1231" s="1866"/>
      <c r="O1231" s="1977" t="s">
        <v>2131</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2649</v>
      </c>
      <c r="E1234" s="1977" t="s">
        <v>2451</v>
      </c>
      <c r="F1234" s="478" t="s">
        <v>2650</v>
      </c>
      <c r="G1234" s="1629"/>
      <c r="H1234" s="478"/>
      <c r="I1234" s="1629"/>
      <c r="J1234" s="1629"/>
      <c r="K1234" s="1901"/>
      <c r="L1234" s="1866"/>
      <c r="M1234" s="1866"/>
      <c r="O1234" s="1977" t="s">
        <v>2451</v>
      </c>
      <c r="P1234" s="1992">
        <f>'Part VIII-Threshold Criteria'!P140</f>
        <v>0</v>
      </c>
      <c r="Q1234" s="1992">
        <f>'Part VIII-Threshold Criteria'!Q140</f>
        <v>0</v>
      </c>
    </row>
    <row r="1235" spans="1:17">
      <c r="A1235" s="1975"/>
      <c r="B1235" s="1977"/>
      <c r="E1235" s="1977" t="s">
        <v>2452</v>
      </c>
      <c r="F1235" s="478" t="s">
        <v>2651</v>
      </c>
      <c r="G1235" s="1629"/>
      <c r="H1235" s="478"/>
      <c r="I1235" s="1629"/>
      <c r="J1235" s="1629"/>
      <c r="K1235" s="1901"/>
      <c r="L1235" s="1866"/>
      <c r="M1235" s="1866"/>
      <c r="O1235" s="1977" t="s">
        <v>2452</v>
      </c>
      <c r="P1235" s="1942">
        <f>'Part VIII-Threshold Criteria'!P141</f>
        <v>0</v>
      </c>
      <c r="Q1235" s="1942">
        <f>'Part VIII-Threshold Criteria'!Q141</f>
        <v>0</v>
      </c>
    </row>
    <row r="1236" spans="1:17">
      <c r="A1236" s="1975"/>
      <c r="B1236" s="1977"/>
      <c r="E1236" s="1977" t="s">
        <v>2453</v>
      </c>
      <c r="F1236" s="478" t="s">
        <v>2652</v>
      </c>
      <c r="G1236" s="1629"/>
      <c r="H1236" s="478"/>
      <c r="I1236" s="1629"/>
      <c r="J1236" s="1629"/>
      <c r="K1236" s="1901"/>
      <c r="L1236" s="1866"/>
      <c r="M1236" s="1866"/>
      <c r="O1236" s="1977" t="s">
        <v>2453</v>
      </c>
      <c r="P1236" s="1942">
        <f>'Part VIII-Threshold Criteria'!P142</f>
        <v>0</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2649</v>
      </c>
      <c r="E1238" s="1977" t="s">
        <v>2451</v>
      </c>
      <c r="F1238" s="478" t="s">
        <v>2653</v>
      </c>
      <c r="G1238" s="1629"/>
      <c r="H1238" s="478"/>
      <c r="I1238" s="1629"/>
      <c r="J1238" s="1629"/>
      <c r="K1238" s="1901"/>
      <c r="L1238" s="1866"/>
      <c r="O1238" s="1977" t="s">
        <v>2451</v>
      </c>
      <c r="P1238" s="1992">
        <f>'Part VIII-Threshold Criteria'!P144</f>
        <v>0</v>
      </c>
      <c r="Q1238" s="1992">
        <f>'Part VIII-Threshold Criteria'!Q144</f>
        <v>0</v>
      </c>
    </row>
    <row r="1239" spans="1:17">
      <c r="A1239" s="1975"/>
      <c r="B1239" s="1977"/>
      <c r="E1239" s="1977" t="s">
        <v>2452</v>
      </c>
      <c r="F1239" s="478" t="s">
        <v>2654</v>
      </c>
      <c r="G1239" s="1629"/>
      <c r="H1239" s="478"/>
      <c r="I1239" s="1629"/>
      <c r="J1239" s="1629"/>
      <c r="O1239" s="1977" t="s">
        <v>2452</v>
      </c>
      <c r="P1239" s="1942">
        <f>'Part VIII-Threshold Criteria'!P145</f>
        <v>0</v>
      </c>
      <c r="Q1239" s="1942">
        <f>'Part VIII-Threshold Criteria'!Q145</f>
        <v>0</v>
      </c>
    </row>
    <row r="1240" spans="1:17">
      <c r="A1240" s="1975"/>
      <c r="B1240" s="1977"/>
      <c r="E1240" s="1977" t="s">
        <v>2453</v>
      </c>
      <c r="F1240" s="478" t="s">
        <v>2652</v>
      </c>
      <c r="G1240" s="1629"/>
      <c r="H1240" s="478"/>
      <c r="I1240" s="1629"/>
      <c r="J1240" s="1629"/>
      <c r="O1240" s="1977" t="s">
        <v>2453</v>
      </c>
      <c r="P1240" s="1942">
        <f>'Part VIII-Threshold Criteria'!P146</f>
        <v>0</v>
      </c>
      <c r="Q1240" s="1942">
        <f>'Part VIII-Threshold Criteria'!Q146</f>
        <v>0</v>
      </c>
    </row>
    <row r="1241" spans="1:17">
      <c r="A1241" s="478"/>
      <c r="B1241" s="1977" t="s">
        <v>2381</v>
      </c>
      <c r="C1241" s="478" t="s">
        <v>2655</v>
      </c>
      <c r="E1241" s="1901"/>
      <c r="F1241" s="1901"/>
      <c r="G1241" s="1901"/>
      <c r="H1241" s="1901"/>
      <c r="I1241" s="1629"/>
      <c r="J1241" s="1629"/>
      <c r="O1241" s="1977" t="s">
        <v>2381</v>
      </c>
      <c r="P1241" s="1942" t="str">
        <f>'Part VIII-Threshold Criteria'!P147</f>
        <v>No</v>
      </c>
      <c r="Q1241" s="1942">
        <f>'Part VIII-Threshold Criteria'!Q147</f>
        <v>0</v>
      </c>
    </row>
    <row r="1242" spans="1:17">
      <c r="A1242" s="1975" t="s">
        <v>1748</v>
      </c>
      <c r="B1242" s="1872" t="s">
        <v>2430</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2511</v>
      </c>
      <c r="E1243" s="1901"/>
      <c r="F1243" s="1942" t="str">
        <f>'Part VIII-Threshold Criteria'!F149</f>
        <v>Yes</v>
      </c>
      <c r="G1243" s="1942">
        <f>'Part VIII-Threshold Criteria'!G149</f>
        <v>0</v>
      </c>
      <c r="H1243" s="1977" t="s">
        <v>1561</v>
      </c>
      <c r="I1243" s="1156" t="s">
        <v>2657</v>
      </c>
      <c r="L1243" s="1942" t="str">
        <f>'Part VIII-Threshold Criteria'!L149</f>
        <v>No</v>
      </c>
      <c r="M1243" s="1942">
        <f>'Part VIII-Threshold Criteria'!M149</f>
        <v>0</v>
      </c>
      <c r="N1243" s="1977" t="s">
        <v>517</v>
      </c>
      <c r="O1243" s="478" t="s">
        <v>1564</v>
      </c>
      <c r="P1243" s="1942" t="str">
        <f>'Part VIII-Threshold Criteria'!P149</f>
        <v>Yes</v>
      </c>
      <c r="Q1243" s="1942">
        <f>'Part VIII-Threshold Criteria'!Q149</f>
        <v>0</v>
      </c>
    </row>
    <row r="1244" spans="1:17">
      <c r="A1244" s="478"/>
      <c r="B1244" s="1977" t="s">
        <v>1751</v>
      </c>
      <c r="C1244" s="478" t="s">
        <v>2821</v>
      </c>
      <c r="E1244" s="1901"/>
      <c r="F1244" s="1942" t="str">
        <f>'Part VIII-Threshold Criteria'!F150</f>
        <v>No</v>
      </c>
      <c r="G1244" s="1942">
        <f>'Part VIII-Threshold Criteria'!G150</f>
        <v>0</v>
      </c>
      <c r="H1244" s="1977" t="s">
        <v>1562</v>
      </c>
      <c r="I1244" s="1156" t="s">
        <v>2658</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2656</v>
      </c>
      <c r="E1245" s="1901"/>
      <c r="F1245" s="1942" t="str">
        <f>'Part VIII-Threshold Criteria'!F151</f>
        <v>No</v>
      </c>
      <c r="G1245" s="1942">
        <f>'Part VIII-Threshold Criteria'!G151</f>
        <v>0</v>
      </c>
      <c r="H1245" s="1977" t="s">
        <v>99</v>
      </c>
      <c r="I1245" s="1156" t="s">
        <v>3875</v>
      </c>
      <c r="L1245" s="1942" t="str">
        <f>'Part VIII-Threshold Criteria'!L151</f>
        <v>No</v>
      </c>
      <c r="M1245" s="1942">
        <f>'Part VIII-Threshold Criteria'!M151</f>
        <v>0</v>
      </c>
      <c r="N1245" s="1977" t="s">
        <v>2823</v>
      </c>
      <c r="O1245" s="478" t="s">
        <v>1565</v>
      </c>
      <c r="P1245" s="1942" t="str">
        <f>'Part VIII-Threshold Criteria'!P151</f>
        <v>No</v>
      </c>
      <c r="Q1245" s="1942">
        <f>'Part VIII-Threshold Criteria'!Q151</f>
        <v>0</v>
      </c>
    </row>
    <row r="1246" spans="1:17">
      <c r="A1246" s="478"/>
      <c r="B1246" s="1977" t="s">
        <v>2381</v>
      </c>
      <c r="C1246" s="478" t="s">
        <v>2824</v>
      </c>
      <c r="E1246" s="1901"/>
      <c r="F1246" s="1942" t="str">
        <f>'Part VIII-Threshold Criteria'!F152</f>
        <v>No</v>
      </c>
      <c r="G1246" s="1942">
        <f>'Part VIII-Threshold Criteria'!G152</f>
        <v>0</v>
      </c>
      <c r="H1246" s="1977" t="s">
        <v>516</v>
      </c>
      <c r="I1246" s="478" t="s">
        <v>2820</v>
      </c>
      <c r="L1246" s="1942" t="str">
        <f>'Part VIII-Threshold Criteria'!L152</f>
        <v>Yes</v>
      </c>
      <c r="M1246" s="1942">
        <f>'Part VIII-Threshold Criteria'!M152</f>
        <v>0</v>
      </c>
      <c r="O1246" s="1977"/>
    </row>
    <row r="1247" spans="1:17">
      <c r="A1247" s="478"/>
      <c r="B1247" s="1977" t="s">
        <v>2913</v>
      </c>
      <c r="C1247" s="478" t="s">
        <v>2822</v>
      </c>
      <c r="E1247" s="1901"/>
      <c r="F1247" s="1901"/>
      <c r="G1247" s="1901"/>
      <c r="H1247" s="1901"/>
      <c r="I1247" s="1901"/>
      <c r="J1247" s="1901"/>
      <c r="K1247" s="1901"/>
      <c r="L1247" s="1901"/>
      <c r="M1247" s="478"/>
      <c r="O1247" s="1977"/>
      <c r="P1247" s="1977"/>
    </row>
    <row r="1248" spans="1:17">
      <c r="A1248" s="478"/>
      <c r="C1248" s="1901">
        <f>'Part VIII-Threshold Criteria'!C154</f>
        <v>0</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3594</v>
      </c>
      <c r="D1249" s="1901"/>
      <c r="E1249" s="1901"/>
      <c r="F1249" s="1901"/>
      <c r="G1249" s="1901"/>
      <c r="H1249" s="1901"/>
      <c r="I1249" s="1629"/>
      <c r="J1249" s="1629"/>
      <c r="K1249" s="1901"/>
      <c r="L1249" s="1901"/>
      <c r="M1249" s="1866"/>
    </row>
    <row r="1250" spans="1:17">
      <c r="A1250" s="1629"/>
      <c r="B1250" s="1977" t="s">
        <v>1750</v>
      </c>
      <c r="C1250" s="478" t="s">
        <v>2825</v>
      </c>
      <c r="E1250" s="1901"/>
      <c r="F1250" s="1901"/>
      <c r="G1250" s="1901"/>
      <c r="H1250" s="1901"/>
      <c r="O1250" s="1977" t="s">
        <v>1750</v>
      </c>
      <c r="P1250" s="1942" t="str">
        <f>'Part VIII-Threshold Criteria'!P156</f>
        <v>No</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t="str">
        <f>'Part VIII-Threshold Criteria'!P157</f>
        <v>Yes</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t="str">
        <f>'Part VIII-Threshold Criteria'!P158</f>
        <v>Yes</v>
      </c>
      <c r="Q1252" s="1942">
        <f>'Part VIII-Threshold Criteria'!Q158</f>
        <v>0</v>
      </c>
    </row>
    <row r="1253" spans="1:17">
      <c r="A1253" s="1975" t="s">
        <v>1962</v>
      </c>
      <c r="B1253" s="478" t="s">
        <v>1766</v>
      </c>
      <c r="D1253" s="1901"/>
      <c r="E1253" s="1901"/>
      <c r="F1253" s="1901"/>
      <c r="G1253" s="1901"/>
      <c r="H1253" s="1901"/>
      <c r="I1253" s="1629"/>
      <c r="J1253" s="1629"/>
      <c r="K1253" s="1901"/>
      <c r="L1253" s="1901"/>
      <c r="M1253" s="1866"/>
      <c r="O1253" s="1977" t="s">
        <v>1962</v>
      </c>
      <c r="P1253" s="1942" t="str">
        <f>'Part VIII-Threshold Criteria'!P159</f>
        <v>N/A</v>
      </c>
      <c r="Q1253" s="1942">
        <f>'Part VIII-Threshold Criteria'!Q159</f>
        <v>0</v>
      </c>
    </row>
    <row r="1254" spans="1:17">
      <c r="A1254" s="1993" t="s">
        <v>3486</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3392</v>
      </c>
      <c r="B1255" s="1936" t="s">
        <v>4768</v>
      </c>
      <c r="C1255" s="1936"/>
      <c r="D1255" s="1936"/>
      <c r="E1255" s="1936"/>
      <c r="F1255" s="1936"/>
      <c r="G1255" s="1936"/>
      <c r="H1255" s="1936"/>
      <c r="I1255" s="1936"/>
      <c r="J1255" s="1936"/>
      <c r="K1255" s="1936"/>
      <c r="L1255" s="1936"/>
      <c r="M1255" s="1987" t="s">
        <v>3392</v>
      </c>
      <c r="N1255" s="1932" t="str">
        <f>'Part VIII-Threshold Criteria'!N161</f>
        <v>Minority concentration</v>
      </c>
      <c r="O1255" s="1932">
        <f>'Part VIII-Threshold Criteria'!O161</f>
        <v>0</v>
      </c>
      <c r="P1255" s="1932" t="str">
        <f>'Part VIII-Threshold Criteria'!P161</f>
        <v>&lt;&lt;Select&gt;&gt;</v>
      </c>
      <c r="Q1255" s="1932">
        <f>'Part VIII-Threshold Criteria'!Q161</f>
        <v>0</v>
      </c>
    </row>
    <row r="1256" spans="1:17" ht="33.75">
      <c r="A1256" s="1975" t="s">
        <v>622</v>
      </c>
      <c r="B1256" s="1872" t="s">
        <v>1</v>
      </c>
      <c r="C1256" s="1629"/>
      <c r="D1256" s="1994"/>
      <c r="E1256" s="1994"/>
      <c r="F1256" s="1629"/>
      <c r="G1256" s="1977" t="s">
        <v>622</v>
      </c>
      <c r="H1256" s="1901" t="str">
        <f>'Part VIII-Threshold Criteria'!H162</f>
        <v>24, 23,85,83.01,83.02, and 40.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3393</v>
      </c>
      <c r="B1257" s="1872" t="s">
        <v>1427</v>
      </c>
      <c r="C1257" s="1629"/>
      <c r="D1257" s="1990"/>
      <c r="E1257" s="1990"/>
      <c r="F1257" s="1990"/>
      <c r="G1257" s="1828"/>
      <c r="H1257" s="1828"/>
      <c r="I1257" s="1872"/>
      <c r="J1257" s="1629"/>
      <c r="K1257" s="1828"/>
      <c r="L1257" s="1828"/>
      <c r="M1257" s="1828"/>
      <c r="N1257" s="1629"/>
      <c r="O1257" s="1977" t="s">
        <v>3393</v>
      </c>
      <c r="P1257" s="1942" t="str">
        <f>'Part VIII-Threshold Criteria'!P163</f>
        <v>Yes</v>
      </c>
      <c r="Q1257" s="1942">
        <f>'Part VIII-Threshold Criteria'!Q163</f>
        <v>0</v>
      </c>
    </row>
    <row r="1258" spans="1:17">
      <c r="B1258" s="1873" t="s">
        <v>3779</v>
      </c>
      <c r="D1258" s="1873"/>
      <c r="E1258" s="1873"/>
      <c r="F1258" s="1873"/>
      <c r="G1258" s="1873"/>
      <c r="H1258" s="1872"/>
      <c r="I1258" s="1934"/>
      <c r="J1258" s="1934"/>
      <c r="K1258" s="1934"/>
      <c r="L1258" s="1836"/>
      <c r="M1258" s="1836"/>
      <c r="N1258" s="1836"/>
      <c r="O1258" s="1836"/>
      <c r="P1258" s="1836"/>
      <c r="Q1258" s="1836"/>
    </row>
    <row r="1259" spans="1:17" ht="168.75">
      <c r="A1259" s="1936" t="str">
        <f>'Part VIII-Threshold Criteria'!A165</f>
        <v>Phase I Environmental was prepared following 2018 Environmental Manual Guidelines.  All information related to this section is contained in Tab 7.</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1880</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2673</v>
      </c>
      <c r="C1264" s="1819"/>
      <c r="D1264" s="1939"/>
      <c r="E1264" s="1939"/>
      <c r="F1264" s="1939"/>
      <c r="G1264" s="1939"/>
      <c r="H1264" s="1939"/>
      <c r="I1264" s="1939"/>
      <c r="J1264" s="1939"/>
      <c r="K1264" s="1939"/>
      <c r="O1264" s="1935" t="s">
        <v>1881</v>
      </c>
      <c r="P1264" s="1844">
        <f>'Part VIII-Threshold Criteria'!P170</f>
        <v>0</v>
      </c>
      <c r="Q1264" s="1844">
        <f>'Part VIII-Threshold Criteria'!Q170</f>
        <v>0</v>
      </c>
    </row>
    <row r="1265" spans="1:17">
      <c r="A1265" s="1975" t="s">
        <v>1999</v>
      </c>
      <c r="B1265" s="478" t="s">
        <v>4547</v>
      </c>
      <c r="D1265" s="478"/>
      <c r="E1265" s="478"/>
      <c r="F1265" s="478"/>
      <c r="G1265" s="478"/>
      <c r="I1265" s="478" t="s">
        <v>2725</v>
      </c>
      <c r="K1265" s="1995">
        <f>'Part VIII-Threshold Criteria'!K171</f>
        <v>43464</v>
      </c>
      <c r="L1265" s="1995">
        <f>'Part VIII-Threshold Criteria'!L171</f>
        <v>0</v>
      </c>
      <c r="N1265" s="478"/>
      <c r="O1265" s="1977" t="s">
        <v>1999</v>
      </c>
      <c r="P1265" s="1942" t="str">
        <f>'Part VIII-Threshold Criteria'!P171</f>
        <v>Yes</v>
      </c>
      <c r="Q1265" s="1942">
        <f>'Part VIII-Threshold Criteria'!Q171</f>
        <v>0</v>
      </c>
    </row>
    <row r="1266" spans="1:17">
      <c r="A1266" s="1975" t="s">
        <v>2001</v>
      </c>
      <c r="B1266" s="1961" t="s">
        <v>151</v>
      </c>
      <c r="D1266" s="1961"/>
      <c r="E1266" s="1961"/>
      <c r="F1266" s="1961"/>
      <c r="G1266" s="1961"/>
      <c r="H1266" s="1961"/>
      <c r="M1266" s="1977" t="s">
        <v>2001</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Heritage Village West Lake, L.P.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2131</v>
      </c>
      <c r="B1268" s="1961" t="s">
        <v>2901</v>
      </c>
      <c r="D1268" s="1961"/>
      <c r="E1268" s="1961"/>
      <c r="F1268" s="1961"/>
      <c r="G1268" s="1961"/>
      <c r="H1268" s="1961"/>
      <c r="J1268" s="1977"/>
      <c r="K1268" s="1977"/>
      <c r="L1268" s="1977"/>
      <c r="M1268" s="1977"/>
      <c r="N1268" s="1977"/>
      <c r="O1268" s="1977" t="s">
        <v>2131</v>
      </c>
      <c r="P1268" s="1942" t="str">
        <f>'Part VIII-Threshold Criteria'!P174</f>
        <v>Yes</v>
      </c>
      <c r="Q1268" s="1942">
        <f>'Part VIII-Threshold Criteria'!Q174</f>
        <v>0</v>
      </c>
    </row>
    <row r="1269" spans="1:17">
      <c r="B1269" s="1873" t="s">
        <v>3779</v>
      </c>
      <c r="D1269" s="1873"/>
      <c r="E1269" s="1873"/>
      <c r="F1269" s="1873"/>
      <c r="G1269" s="1873"/>
      <c r="H1269" s="1872"/>
      <c r="I1269" s="1934"/>
      <c r="J1269" s="1934"/>
      <c r="K1269" s="1934"/>
      <c r="L1269" s="1836"/>
      <c r="M1269" s="1836"/>
      <c r="N1269" s="1836"/>
      <c r="O1269" s="1836"/>
      <c r="P1269" s="1836"/>
      <c r="Q1269" s="1836"/>
    </row>
    <row r="1270" spans="1:17" ht="409.5">
      <c r="A1270" s="1936" t="str">
        <f>'Part VIII-Threshold Criteria'!A176</f>
        <v>PSA conforms with all 2018 QAP requirments and is contained in Tab 8.  Note:  The Seller, Quest Community Development Organization, received an assignment from New Columbia Residential, LLC.  New Columbia Residential, LLC has entered into a PSA by and between Aroostook Property Management, LLC dated 11/10/17.  This agreement gives Columbia the right to assign the agreement to Quest. Quest is the sole member of Heritage Village West Lake Partners, LLC, and they are the sole member of Heritage Village West Lake, LP.  Quest Community Development Organization has entered into a real estate contract with the LP for 3.06 acres of the larger tract.</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1880</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2674</v>
      </c>
      <c r="C1274" s="1819"/>
      <c r="D1274" s="1939"/>
      <c r="E1274" s="1939"/>
      <c r="F1274" s="1939"/>
      <c r="G1274" s="1939"/>
      <c r="H1274" s="1939"/>
      <c r="I1274" s="1939"/>
      <c r="J1274" s="1939"/>
      <c r="K1274" s="1939"/>
      <c r="L1274" s="1939"/>
      <c r="M1274" s="1939"/>
      <c r="O1274" s="1935" t="s">
        <v>1881</v>
      </c>
      <c r="P1274" s="1844">
        <f>'Part VIII-Threshold Criteria'!P180</f>
        <v>0</v>
      </c>
      <c r="Q1274" s="1844">
        <f>'Part VIII-Threshold Criteria'!Q180</f>
        <v>0</v>
      </c>
    </row>
    <row r="1275" spans="1:17" ht="12.75" customHeight="1">
      <c r="A1275" s="1973" t="s">
        <v>1999</v>
      </c>
      <c r="B1275" s="1936" t="s">
        <v>3770</v>
      </c>
      <c r="C1275" s="1936"/>
      <c r="D1275" s="1936"/>
      <c r="E1275" s="1936"/>
      <c r="F1275" s="1936"/>
      <c r="G1275" s="1936"/>
      <c r="H1275" s="1936"/>
      <c r="I1275" s="1936"/>
      <c r="J1275" s="1936"/>
      <c r="K1275" s="1936"/>
      <c r="L1275" s="1936"/>
      <c r="M1275" s="1936"/>
      <c r="N1275" s="1936"/>
      <c r="O1275" s="1987" t="s">
        <v>1999</v>
      </c>
      <c r="P1275" s="1988" t="str">
        <f>'Part VIII-Threshold Criteria'!P181</f>
        <v>Yes</v>
      </c>
      <c r="Q1275" s="1988">
        <f>'Part VIII-Threshold Criteria'!Q181</f>
        <v>0</v>
      </c>
    </row>
    <row r="1276" spans="1:17" ht="12.75" customHeight="1">
      <c r="A1276" s="1973" t="s">
        <v>2001</v>
      </c>
      <c r="B1276" s="1936" t="s">
        <v>3663</v>
      </c>
      <c r="C1276" s="1936"/>
      <c r="D1276" s="1936"/>
      <c r="E1276" s="1936"/>
      <c r="F1276" s="1936"/>
      <c r="G1276" s="1936"/>
      <c r="H1276" s="1936"/>
      <c r="I1276" s="1936"/>
      <c r="J1276" s="1936"/>
      <c r="K1276" s="1936"/>
      <c r="L1276" s="1936"/>
      <c r="M1276" s="1936"/>
      <c r="N1276" s="1936"/>
      <c r="O1276" s="1987" t="s">
        <v>2001</v>
      </c>
      <c r="P1276" s="1988" t="str">
        <f>'Part VIII-Threshold Criteria'!P182</f>
        <v>N/Ap</v>
      </c>
      <c r="Q1276" s="1988">
        <f>'Part VIII-Threshold Criteria'!Q182</f>
        <v>0</v>
      </c>
    </row>
    <row r="1277" spans="1:17" ht="12.75" customHeight="1">
      <c r="A1277" s="1973" t="s">
        <v>757</v>
      </c>
      <c r="B1277" s="1936" t="s">
        <v>3771</v>
      </c>
      <c r="C1277" s="1936"/>
      <c r="D1277" s="1936"/>
      <c r="E1277" s="1936"/>
      <c r="F1277" s="1936"/>
      <c r="G1277" s="1936"/>
      <c r="H1277" s="1936"/>
      <c r="I1277" s="1936"/>
      <c r="J1277" s="1936"/>
      <c r="K1277" s="1936"/>
      <c r="L1277" s="1936"/>
      <c r="M1277" s="1936"/>
      <c r="N1277" s="1936"/>
      <c r="O1277" s="1987" t="s">
        <v>757</v>
      </c>
      <c r="P1277" s="1988" t="str">
        <f>'Part VIII-Threshold Criteria'!P183</f>
        <v>N/Ap</v>
      </c>
      <c r="Q1277" s="1988">
        <f>'Part VIII-Threshold Criteria'!Q183</f>
        <v>0</v>
      </c>
    </row>
    <row r="1278" spans="1:17" ht="12.75" customHeight="1">
      <c r="A1278" s="1973" t="s">
        <v>2131</v>
      </c>
      <c r="B1278" s="1936" t="s">
        <v>2659</v>
      </c>
      <c r="C1278" s="1936"/>
      <c r="D1278" s="1936"/>
      <c r="E1278" s="1936"/>
      <c r="F1278" s="1936"/>
      <c r="G1278" s="1936"/>
      <c r="H1278" s="1936"/>
      <c r="I1278" s="1936"/>
      <c r="J1278" s="1936"/>
      <c r="K1278" s="1936"/>
      <c r="L1278" s="1936"/>
      <c r="M1278" s="1936"/>
      <c r="N1278" s="1936"/>
      <c r="O1278" s="1987" t="s">
        <v>2131</v>
      </c>
      <c r="P1278" s="1988" t="str">
        <f>'Part VIII-Threshold Criteria'!P184</f>
        <v>N/Ap</v>
      </c>
      <c r="Q1278" s="1988">
        <f>'Part VIII-Threshold Criteria'!Q184</f>
        <v>0</v>
      </c>
    </row>
    <row r="1279" spans="1:17">
      <c r="B1279" s="1873" t="s">
        <v>3779</v>
      </c>
      <c r="D1279" s="1873"/>
      <c r="E1279" s="1873"/>
      <c r="F1279" s="1873"/>
      <c r="G1279" s="1873"/>
      <c r="H1279" s="1872"/>
      <c r="I1279" s="1934"/>
      <c r="J1279" s="1934"/>
      <c r="K1279" s="1934"/>
      <c r="L1279" s="1836"/>
      <c r="M1279" s="1836"/>
      <c r="N1279" s="1836"/>
      <c r="O1279" s="1836"/>
      <c r="P1279" s="1836"/>
      <c r="Q1279" s="1836"/>
    </row>
    <row r="1280" spans="1:17" ht="135">
      <c r="A1280" s="1936" t="str">
        <f>'Part VIII-Threshold Criteria'!A186</f>
        <v>Site entrace is on West Lake Ave, NW - this is a paved public road, as shown in the documentation contained in Tab 9.</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1880</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2675</v>
      </c>
      <c r="C1284" s="1818"/>
      <c r="D1284" s="1818"/>
      <c r="O1284" s="1935" t="s">
        <v>1881</v>
      </c>
      <c r="P1284" s="1844">
        <f>'Part VIII-Threshold Criteria'!P190</f>
        <v>0</v>
      </c>
      <c r="Q1284" s="1844">
        <f>'Part VIII-Threshold Criteria'!Q190</f>
        <v>0</v>
      </c>
    </row>
    <row r="1285" spans="1:17">
      <c r="A1285" s="1973" t="s">
        <v>1999</v>
      </c>
      <c r="B1285" s="1996" t="s">
        <v>472</v>
      </c>
      <c r="D1285" s="1996"/>
      <c r="E1285" s="1996"/>
      <c r="F1285" s="1996"/>
      <c r="G1285" s="1996"/>
      <c r="H1285" s="1996"/>
      <c r="I1285" s="1996"/>
      <c r="J1285" s="1996"/>
      <c r="K1285" s="1996"/>
      <c r="L1285" s="1996"/>
      <c r="M1285" s="1996"/>
      <c r="O1285" s="1987" t="s">
        <v>1999</v>
      </c>
      <c r="P1285" s="1942" t="str">
        <f>'Part VIII-Threshold Criteria'!P191</f>
        <v>Yes</v>
      </c>
      <c r="Q1285" s="1942">
        <f>'Part VIII-Threshold Criteria'!Q191</f>
        <v>0</v>
      </c>
    </row>
    <row r="1286" spans="1:17">
      <c r="A1286" s="1973" t="s">
        <v>2001</v>
      </c>
      <c r="B1286" s="1996" t="s">
        <v>2660</v>
      </c>
      <c r="D1286" s="1996"/>
      <c r="E1286" s="1996"/>
      <c r="F1286" s="1996"/>
      <c r="G1286" s="1996"/>
      <c r="H1286" s="1996"/>
      <c r="I1286" s="1996"/>
      <c r="J1286" s="1996"/>
      <c r="K1286" s="1996"/>
      <c r="L1286" s="1996"/>
      <c r="M1286" s="1996"/>
      <c r="O1286" s="1987" t="s">
        <v>2001</v>
      </c>
      <c r="P1286" s="1942" t="str">
        <f>'Part VIII-Threshold Criteria'!P192</f>
        <v>Yes</v>
      </c>
      <c r="Q1286" s="1942">
        <f>'Part VIII-Threshold Criteria'!Q192</f>
        <v>0</v>
      </c>
    </row>
    <row r="1287" spans="1:17">
      <c r="A1287" s="1973" t="s">
        <v>757</v>
      </c>
      <c r="B1287" s="1996" t="s">
        <v>2661</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2649</v>
      </c>
      <c r="C1288" s="1936"/>
      <c r="D1288" s="1977" t="s">
        <v>1750</v>
      </c>
      <c r="E1288" s="1872" t="s">
        <v>2662</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4769</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3772</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2381</v>
      </c>
      <c r="E1291" s="1872" t="s">
        <v>2664</v>
      </c>
      <c r="G1291" s="1996"/>
      <c r="H1291" s="1996"/>
      <c r="I1291" s="1996"/>
      <c r="J1291" s="1996"/>
      <c r="K1291" s="1996"/>
      <c r="L1291" s="1996"/>
      <c r="M1291" s="1996"/>
      <c r="O1291" s="1997" t="s">
        <v>2381</v>
      </c>
      <c r="P1291" s="1942" t="str">
        <f>'Part VIII-Threshold Criteria'!P197</f>
        <v>Yes</v>
      </c>
      <c r="Q1291" s="1942">
        <f>'Part VIII-Threshold Criteria'!Q197</f>
        <v>0</v>
      </c>
    </row>
    <row r="1292" spans="1:17" ht="12.75" customHeight="1">
      <c r="A1292" s="1973"/>
      <c r="B1292" s="1953"/>
      <c r="C1292" s="1996"/>
      <c r="D1292" s="1987" t="s">
        <v>1561</v>
      </c>
      <c r="E1292" s="1936" t="s">
        <v>2665</v>
      </c>
      <c r="F1292" s="1936"/>
      <c r="G1292" s="1936"/>
      <c r="H1292" s="1936"/>
      <c r="I1292" s="1936"/>
      <c r="J1292" s="1936"/>
      <c r="K1292" s="1936"/>
      <c r="L1292" s="1936"/>
      <c r="M1292" s="1936"/>
      <c r="N1292" s="1936"/>
      <c r="O1292" s="1987" t="s">
        <v>1561</v>
      </c>
      <c r="P1292" s="1988" t="str">
        <f>'Part VIII-Threshold Criteria'!P198</f>
        <v>Yes</v>
      </c>
      <c r="Q1292" s="1988">
        <f>'Part VIII-Threshold Criteria'!Q198</f>
        <v>0</v>
      </c>
    </row>
    <row r="1293" spans="1:17" ht="12.75" customHeight="1">
      <c r="A1293" s="1973"/>
      <c r="B1293" s="1953"/>
      <c r="C1293" s="1996"/>
      <c r="D1293" s="1987" t="s">
        <v>1562</v>
      </c>
      <c r="E1293" s="1936" t="s">
        <v>3928</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2131</v>
      </c>
      <c r="B1294" s="1936" t="s">
        <v>2666</v>
      </c>
      <c r="C1294" s="1936"/>
      <c r="D1294" s="1936"/>
      <c r="E1294" s="1936"/>
      <c r="F1294" s="1936"/>
      <c r="G1294" s="1936"/>
      <c r="H1294" s="1936"/>
      <c r="I1294" s="1936"/>
      <c r="J1294" s="1936"/>
      <c r="K1294" s="1936"/>
      <c r="L1294" s="1936"/>
      <c r="M1294" s="1936"/>
      <c r="N1294" s="1936"/>
      <c r="O1294" s="1987" t="s">
        <v>2131</v>
      </c>
      <c r="P1294" s="1988" t="str">
        <f>'Part VIII-Threshold Criteria'!P200</f>
        <v>Yes</v>
      </c>
      <c r="Q1294" s="1988">
        <f>'Part VIII-Threshold Criteria'!Q200</f>
        <v>0</v>
      </c>
    </row>
    <row r="1295" spans="1:17">
      <c r="A1295" s="1973" t="s">
        <v>1748</v>
      </c>
      <c r="B1295" s="1996" t="s">
        <v>2395</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3779</v>
      </c>
      <c r="D1296" s="1873"/>
      <c r="E1296" s="1873"/>
      <c r="F1296" s="1873"/>
      <c r="G1296" s="1873"/>
      <c r="H1296" s="1872"/>
      <c r="I1296" s="1934"/>
      <c r="J1296" s="1934"/>
      <c r="K1296" s="1934"/>
      <c r="L1296" s="1836"/>
      <c r="M1296" s="1836"/>
      <c r="N1296" s="1836"/>
      <c r="O1296" s="1836"/>
      <c r="P1296" s="1836"/>
      <c r="Q1296" s="1836"/>
    </row>
    <row r="1297" spans="1:17" ht="409.5">
      <c r="A1297" s="1936" t="str">
        <f>'Part VIII-Threshold Criteria'!A203</f>
        <v>Site is zoned O-I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He did state in an email that the Office Industrial zoning of the property makes no reference to farmland.  This email is also contained in Tab 10.</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1880</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2676</v>
      </c>
      <c r="C1301" s="1819"/>
      <c r="D1301" s="1939"/>
      <c r="E1301" s="1998"/>
      <c r="F1301" s="1998"/>
      <c r="G1301" s="1939"/>
      <c r="J1301" s="1936"/>
      <c r="K1301" s="1936"/>
      <c r="L1301" s="1936"/>
      <c r="M1301" s="1936"/>
      <c r="N1301" s="1936"/>
      <c r="O1301" s="1935" t="s">
        <v>1881</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&lt;&lt;Enter Provider Name Here&gt;&gt;</v>
      </c>
      <c r="K1302" s="1933">
        <f>'Part VIII-Threshold Criteria'!K208</f>
        <v>0</v>
      </c>
      <c r="L1302" s="1933">
        <f>'Part VIII-Threshold Criteria'!L208</f>
        <v>0</v>
      </c>
      <c r="M1302" s="1933">
        <f>'Part VIII-Threshold Criteria'!M208</f>
        <v>0</v>
      </c>
      <c r="N1302" s="1933">
        <f>'Part VIII-Threshold Criteria'!N208</f>
        <v>0</v>
      </c>
      <c r="O1302" s="1977" t="s">
        <v>1750</v>
      </c>
      <c r="P1302" s="1942">
        <f>'Part VIII-Threshold Criteria'!P208</f>
        <v>0</v>
      </c>
      <c r="Q1302" s="1942">
        <f>'Part VIII-Threshold Criteria'!Q208</f>
        <v>0</v>
      </c>
    </row>
    <row r="1303" spans="1:17">
      <c r="A1303" s="1855"/>
      <c r="B1303" s="1873" t="s">
        <v>3779</v>
      </c>
      <c r="C1303" s="1775"/>
      <c r="D1303" s="1775"/>
      <c r="E1303" s="1775"/>
      <c r="F1303" s="1775"/>
      <c r="H1303" s="1977" t="s">
        <v>1751</v>
      </c>
      <c r="I1303" s="478" t="s">
        <v>1608</v>
      </c>
      <c r="J1303" s="1933" t="str">
        <f>'Part VIII-Threshold Criteria'!J209</f>
        <v>Georgia Power</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46.25">
      <c r="A1304" s="1936" t="str">
        <f>'Part VIII-Threshold Criteria'!A210</f>
        <v>A letter from Georgia Power is included in our application confirming availability to the site and is found in Tab 11.</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1880</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2677</v>
      </c>
      <c r="C1308" s="1818"/>
      <c r="D1308" s="1933"/>
      <c r="E1308" s="1933"/>
      <c r="F1308" s="1933"/>
      <c r="G1308" s="1939"/>
      <c r="H1308" s="1939"/>
      <c r="I1308" s="1939"/>
      <c r="J1308" s="1939"/>
      <c r="K1308" s="1939"/>
      <c r="L1308" s="1939"/>
      <c r="M1308" s="1939"/>
      <c r="O1308" s="1935" t="s">
        <v>1881</v>
      </c>
      <c r="P1308" s="1844">
        <f>'Part VIII-Threshold Criteria'!P214</f>
        <v>0</v>
      </c>
      <c r="Q1308" s="1844">
        <f>'Part VIII-Threshold Criteria'!Q214</f>
        <v>0</v>
      </c>
    </row>
    <row r="1310" spans="1:17">
      <c r="A1310" s="1973" t="s">
        <v>1999</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2001</v>
      </c>
      <c r="B1312" s="1936" t="s">
        <v>1863</v>
      </c>
      <c r="C1312" s="1936"/>
      <c r="D1312" s="1936"/>
      <c r="E1312" s="1936"/>
      <c r="F1312" s="1936"/>
      <c r="G1312" s="1936"/>
      <c r="H1312" s="1977" t="s">
        <v>1750</v>
      </c>
      <c r="I1312" s="478" t="s">
        <v>641</v>
      </c>
      <c r="J1312" s="1933" t="str">
        <f>'Part VIII-Threshold Criteria'!J218</f>
        <v>City of Atlanta</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City of Atlanta</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3935</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2131</v>
      </c>
      <c r="B1315" s="478" t="s">
        <v>3936</v>
      </c>
      <c r="D1315" s="478"/>
      <c r="E1315" s="478"/>
      <c r="F1315" s="478"/>
      <c r="G1315" s="478"/>
      <c r="H1315" s="478"/>
      <c r="I1315" s="478"/>
      <c r="J1315" s="478"/>
      <c r="K1315" s="1629"/>
      <c r="L1315" s="478"/>
      <c r="M1315" s="478"/>
      <c r="O1315" s="1977" t="s">
        <v>2131</v>
      </c>
      <c r="P1315" s="1942">
        <f>'Part VIII-Threshold Criteria'!P221</f>
        <v>0</v>
      </c>
      <c r="Q1315" s="1942">
        <f>'Part VIII-Threshold Criteria'!Q221</f>
        <v>0</v>
      </c>
    </row>
    <row r="1316" spans="1:17">
      <c r="B1316" s="1873" t="s">
        <v>3779</v>
      </c>
      <c r="D1316" s="1873"/>
      <c r="E1316" s="1873"/>
      <c r="F1316" s="1873"/>
      <c r="G1316" s="1873"/>
      <c r="H1316" s="1872"/>
      <c r="I1316" s="1934"/>
      <c r="J1316" s="1934"/>
      <c r="K1316" s="1934"/>
      <c r="L1316" s="1836"/>
      <c r="M1316" s="1836"/>
      <c r="N1316" s="1836"/>
      <c r="O1316" s="1836"/>
      <c r="P1316" s="1836"/>
      <c r="Q1316" s="1836"/>
    </row>
    <row r="1317" spans="1:17" ht="168.75">
      <c r="A1317" s="1936" t="str">
        <f>'Part VIII-Threshold Criteria'!A223</f>
        <v>City of Atlanta letters for Water and Sewer are included with the application confirming location and availability to the site and is found in Tab 12.</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1880</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2678</v>
      </c>
      <c r="C1321" s="1969"/>
      <c r="D1321" s="1939"/>
      <c r="E1321" s="1939"/>
      <c r="F1321" s="1939"/>
      <c r="G1321" s="1939"/>
      <c r="H1321" s="1939"/>
      <c r="I1321" s="1939"/>
      <c r="J1321" s="1939"/>
      <c r="K1321" s="1939"/>
      <c r="L1321" s="1939"/>
      <c r="M1321" s="1939"/>
      <c r="O1321" s="1935" t="s">
        <v>1881</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1999</v>
      </c>
      <c r="B1323" s="478" t="s">
        <v>4770</v>
      </c>
      <c r="D1323" s="1629"/>
      <c r="E1323" s="1629"/>
      <c r="F1323" s="1629"/>
      <c r="G1323" s="1629"/>
      <c r="H1323" s="1629"/>
      <c r="I1323" s="1629"/>
      <c r="J1323" s="1629"/>
      <c r="K1323" s="1629"/>
      <c r="L1323" s="1629"/>
      <c r="M1323" s="1629"/>
      <c r="O1323" s="1977" t="s">
        <v>1999</v>
      </c>
      <c r="P1323" s="1942" t="str">
        <f>'Part VIII-Threshold Criteria'!P229</f>
        <v>Agree</v>
      </c>
      <c r="Q1323" s="1942">
        <f>'Part VIII-Threshold Criteria'!Q229</f>
        <v>0</v>
      </c>
    </row>
    <row r="1324" spans="1:17">
      <c r="A1324" s="1975"/>
      <c r="B1324" s="1977" t="s">
        <v>1750</v>
      </c>
      <c r="C1324" s="478" t="s">
        <v>1946</v>
      </c>
      <c r="E1324" s="478"/>
      <c r="F1324" s="478"/>
      <c r="G1324" s="478"/>
      <c r="H1324" s="478"/>
      <c r="I1324" s="1629"/>
      <c r="J1324" s="1977" t="s">
        <v>1498</v>
      </c>
      <c r="K1324" s="1933" t="str">
        <f>'Part VIII-Threshold Criteria'!K230</f>
        <v>Room</v>
      </c>
      <c r="L1324" s="1933">
        <f>'Part VIII-Threshold Criteria'!L230</f>
        <v>0</v>
      </c>
      <c r="Q1324" s="1942">
        <f>'Part VIII-Threshold Criteria'!Q230</f>
        <v>0</v>
      </c>
    </row>
    <row r="1325" spans="1:17" ht="13.5">
      <c r="A1325" s="1975"/>
      <c r="B1325" s="1977" t="s">
        <v>1751</v>
      </c>
      <c r="C1325" s="1872" t="s">
        <v>2741</v>
      </c>
      <c r="E1325" s="1872"/>
      <c r="F1325" s="1872"/>
      <c r="G1325" s="1872"/>
      <c r="H1325" s="1872"/>
      <c r="I1325" s="1629"/>
      <c r="J1325" s="1977" t="s">
        <v>1499</v>
      </c>
      <c r="K1325" s="1933" t="str">
        <f>'Part VIII-Threshold Criteria'!K231</f>
        <v>Gazebo</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2001</v>
      </c>
      <c r="B1327" s="478" t="s">
        <v>2526</v>
      </c>
      <c r="D1327" s="478"/>
      <c r="E1327" s="478"/>
      <c r="F1327" s="478"/>
      <c r="G1327" s="478"/>
      <c r="H1327" s="478"/>
      <c r="I1327" s="478"/>
      <c r="J1327" s="478"/>
      <c r="K1327" s="1629"/>
      <c r="L1327" s="1629"/>
      <c r="M1327" s="1629"/>
      <c r="N1327" s="1629"/>
      <c r="O1327" s="1977" t="s">
        <v>2001</v>
      </c>
      <c r="P1327" s="1942" t="str">
        <f>'Part VIII-Threshold Criteria'!P233</f>
        <v>Agree</v>
      </c>
      <c r="Q1327" s="1942">
        <f>'Part VIII-Threshold Criteria'!Q233</f>
        <v>0</v>
      </c>
    </row>
    <row r="1328" spans="1:17">
      <c r="A1328" s="1975"/>
      <c r="B1328" s="478" t="s">
        <v>4771</v>
      </c>
      <c r="D1328" s="478"/>
      <c r="E1328" s="478"/>
      <c r="F1328" s="478"/>
      <c r="G1328" s="478"/>
      <c r="H1328" s="478"/>
      <c r="I1328" s="478"/>
      <c r="J1328" s="478"/>
      <c r="K1328" s="1629"/>
      <c r="L1328" s="1629"/>
      <c r="M1328" s="1629"/>
      <c r="N1328" s="1629"/>
      <c r="O1328" s="1629"/>
      <c r="P1328" s="1999" t="s">
        <v>2</v>
      </c>
      <c r="Q1328" s="1999"/>
    </row>
    <row r="1329" spans="1:17">
      <c r="A1329" s="1975"/>
      <c r="C1329" s="478" t="s">
        <v>2743</v>
      </c>
      <c r="D1329" s="478"/>
      <c r="E1329" s="478"/>
      <c r="F1329" s="478"/>
      <c r="H1329" s="2001" t="s">
        <v>781</v>
      </c>
      <c r="I1329" s="1631" t="s">
        <v>782</v>
      </c>
      <c r="K1329" s="478" t="s">
        <v>2743</v>
      </c>
      <c r="M1329" s="1629"/>
      <c r="N1329" s="1629"/>
      <c r="O1329" s="2001"/>
      <c r="P1329" s="1689" t="s">
        <v>781</v>
      </c>
      <c r="Q1329" s="1631" t="s">
        <v>782</v>
      </c>
    </row>
    <row r="1330" spans="1:17" ht="33.75">
      <c r="A1330" s="1942"/>
      <c r="B1330" s="1977" t="s">
        <v>1750</v>
      </c>
      <c r="C1330" s="1936" t="str">
        <f>'Part VIII-Threshold Criteria'!C236</f>
        <v>Fenced Community Gardens</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f>'Part VIII-Threshold Criteria'!K236</f>
        <v>0</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22.5">
      <c r="A1331" s="1942"/>
      <c r="B1331" s="1977" t="s">
        <v>1751</v>
      </c>
      <c r="C1331" s="1936" t="str">
        <f>'Part VIII-Threshold Criteria'!C237</f>
        <v>Wellness Center</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2381</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3488</v>
      </c>
      <c r="E1333" s="478"/>
      <c r="F1333" s="478"/>
      <c r="L1333" s="1629"/>
      <c r="M1333" s="1629"/>
      <c r="O1333" s="1977" t="s">
        <v>1750</v>
      </c>
      <c r="P1333" s="1942" t="str">
        <f>'Part VIII-Threshold Criteria'!P239</f>
        <v>Yes</v>
      </c>
      <c r="Q1333" s="1942">
        <f>'Part VIII-Threshold Criteria'!Q239</f>
        <v>0</v>
      </c>
    </row>
    <row r="1334" spans="1:17">
      <c r="B1334" s="1977" t="s">
        <v>1751</v>
      </c>
      <c r="C1334" s="1872" t="s">
        <v>2826</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2827</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2381</v>
      </c>
      <c r="C1336" s="1872" t="s">
        <v>2828</v>
      </c>
      <c r="E1336" s="1872"/>
      <c r="F1336" s="1872"/>
      <c r="G1336" s="1872"/>
      <c r="H1336" s="1872"/>
      <c r="I1336" s="1629"/>
      <c r="J1336" s="1629"/>
      <c r="K1336" s="1629"/>
      <c r="L1336" s="1629"/>
      <c r="M1336" s="1629"/>
      <c r="O1336" s="1977" t="s">
        <v>2381</v>
      </c>
      <c r="P1336" s="1942" t="str">
        <f>'Part VIII-Threshold Criteria'!P242</f>
        <v>Yes</v>
      </c>
      <c r="Q1336" s="1942">
        <f>'Part VIII-Threshold Criteria'!Q242</f>
        <v>0</v>
      </c>
    </row>
    <row r="1337" spans="1:17">
      <c r="A1337" s="1975"/>
      <c r="B1337" s="1977" t="s">
        <v>1561</v>
      </c>
      <c r="C1337" s="1872" t="s">
        <v>2829</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2817</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2818</v>
      </c>
      <c r="P1339" s="1942">
        <f>'Part VIII-Threshold Criteria'!P245</f>
        <v>0</v>
      </c>
      <c r="Q1339" s="1942">
        <f>'Part VIII-Threshold Criteria'!Q245</f>
        <v>0</v>
      </c>
    </row>
    <row r="1340" spans="1:17">
      <c r="A1340" s="1975" t="s">
        <v>2131</v>
      </c>
      <c r="B1340" s="478" t="s">
        <v>3688</v>
      </c>
      <c r="C1340" s="478"/>
      <c r="E1340" s="478"/>
      <c r="F1340" s="478"/>
      <c r="G1340" s="478"/>
      <c r="H1340" s="478"/>
      <c r="I1340" s="478"/>
      <c r="J1340" s="478"/>
      <c r="K1340" s="1629"/>
      <c r="L1340" s="478"/>
      <c r="M1340" s="478"/>
      <c r="O1340" s="1977" t="s">
        <v>2131</v>
      </c>
      <c r="P1340" s="1942" t="str">
        <f>'Part VIII-Threshold Criteria'!P246</f>
        <v>Agree</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t="str">
        <f>'Part VIII-Threshold Criteria'!P247</f>
        <v>Yes</v>
      </c>
      <c r="Q1341" s="1942">
        <f>'Part VIII-Threshold Criteria'!Q247</f>
        <v>0</v>
      </c>
    </row>
    <row r="1342" spans="1:17">
      <c r="B1342" s="1977" t="s">
        <v>1751</v>
      </c>
      <c r="C1342" s="478" t="s">
        <v>3937</v>
      </c>
      <c r="E1342" s="1629"/>
      <c r="F1342" s="1629"/>
      <c r="G1342" s="1872"/>
      <c r="H1342" s="1872"/>
      <c r="I1342" s="1629"/>
      <c r="J1342" s="1872"/>
      <c r="K1342" s="1629"/>
      <c r="L1342" s="1872"/>
      <c r="M1342" s="1872"/>
      <c r="O1342" s="1977" t="s">
        <v>1751</v>
      </c>
      <c r="P1342" s="1942" t="str">
        <f>'Part VIII-Threshold Criteria'!P248</f>
        <v>Yes</v>
      </c>
      <c r="Q1342" s="1942">
        <f>'Part VIII-Threshold Criteria'!Q248</f>
        <v>0</v>
      </c>
    </row>
    <row r="1343" spans="1:17">
      <c r="B1343" s="1873" t="s">
        <v>3779</v>
      </c>
      <c r="D1343" s="1873"/>
      <c r="E1343" s="1873"/>
      <c r="F1343" s="1873"/>
      <c r="G1343" s="1873"/>
      <c r="H1343" s="1872"/>
      <c r="I1343" s="1934"/>
      <c r="J1343" s="1934"/>
      <c r="K1343" s="1934"/>
      <c r="L1343" s="1836"/>
      <c r="M1343" s="1836"/>
      <c r="N1343" s="1836"/>
      <c r="O1343" s="1836"/>
      <c r="P1343" s="1836"/>
      <c r="Q1343" s="1836"/>
    </row>
    <row r="1344" spans="1:17" ht="101.25">
      <c r="A1344" s="1936" t="str">
        <f>'Part VIII-Threshold Criteria'!A250</f>
        <v>We are committing to providing all amenities described above, these are shown on the CSDP</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1880</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2800</v>
      </c>
      <c r="B1348" s="1818" t="s">
        <v>2679</v>
      </c>
      <c r="C1348" s="1818"/>
      <c r="D1348" s="1933"/>
      <c r="E1348" s="1933"/>
      <c r="F1348" s="1933"/>
      <c r="G1348" s="1933"/>
      <c r="H1348" s="1939"/>
      <c r="I1348" s="1939"/>
      <c r="J1348" s="1939"/>
      <c r="K1348" s="1939"/>
      <c r="L1348" s="1906"/>
      <c r="M1348" s="1906"/>
      <c r="O1348" s="1935" t="s">
        <v>1881</v>
      </c>
      <c r="P1348" s="1844">
        <f>'Part VIII-Threshold Criteria'!P254</f>
        <v>0</v>
      </c>
      <c r="Q1348" s="1844">
        <f>'Part VIII-Threshold Criteria'!Q254</f>
        <v>0</v>
      </c>
    </row>
    <row r="1349" spans="1:17">
      <c r="L1349" s="1906"/>
      <c r="M1349" s="1906"/>
      <c r="N1349" s="1156"/>
    </row>
    <row r="1350" spans="1:17">
      <c r="A1350" s="1975" t="s">
        <v>1999</v>
      </c>
      <c r="B1350" s="478" t="s">
        <v>1280</v>
      </c>
      <c r="D1350" s="1629"/>
      <c r="E1350" s="478"/>
      <c r="F1350" s="478"/>
      <c r="J1350" s="1977" t="s">
        <v>1999</v>
      </c>
      <c r="K1350" s="1933" t="str">
        <f>'Part VIII-Threshold Criteria'!K256</f>
        <v>Substantial Gut Rehab</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2001</v>
      </c>
      <c r="B1351" s="478" t="s">
        <v>2830</v>
      </c>
      <c r="D1351" s="478"/>
      <c r="E1351" s="478"/>
      <c r="F1351" s="478"/>
      <c r="J1351" s="1977" t="s">
        <v>2001</v>
      </c>
      <c r="K1351" s="1933">
        <f>'Part VIII-Threshold Criteria'!K257</f>
        <v>43235</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1960</v>
      </c>
      <c r="D1352" s="478"/>
      <c r="E1352" s="478"/>
      <c r="F1352" s="478"/>
      <c r="K1352" s="1933" t="str">
        <f>'Part VIII-Threshold Criteria'!K258</f>
        <v>United Consulting</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2560</v>
      </c>
      <c r="D1353" s="478"/>
      <c r="E1353" s="478"/>
      <c r="F1353" s="478"/>
      <c r="G1353" s="478"/>
      <c r="H1353" s="478"/>
      <c r="I1353" s="1629"/>
      <c r="J1353" s="1629"/>
      <c r="M1353" s="478"/>
      <c r="N1353" s="2002"/>
      <c r="O1353" s="1977"/>
      <c r="P1353" s="1942" t="str">
        <f>'Part VIII-Threshold Criteria'!P259</f>
        <v>Yes</v>
      </c>
      <c r="Q1353" s="1942">
        <f>'Part VIII-Threshold Criteria'!Q259</f>
        <v>0</v>
      </c>
    </row>
    <row r="1354" spans="1:17">
      <c r="A1354" s="1975" t="s">
        <v>757</v>
      </c>
      <c r="B1354" s="478" t="s">
        <v>3786</v>
      </c>
      <c r="D1354" s="478"/>
      <c r="E1354" s="478"/>
      <c r="F1354" s="478"/>
      <c r="M1354" s="478"/>
      <c r="N1354" s="2002"/>
      <c r="O1354" s="1977" t="s">
        <v>757</v>
      </c>
      <c r="P1354" s="1942" t="str">
        <f>'Part VIII-Threshold Criteria'!P260</f>
        <v>Yes</v>
      </c>
      <c r="Q1354" s="1942">
        <f>'Part VIII-Threshold Criteria'!Q260</f>
        <v>0</v>
      </c>
    </row>
    <row r="1355" spans="1:17">
      <c r="A1355" s="1975"/>
      <c r="B1355" s="478" t="s">
        <v>3785</v>
      </c>
      <c r="D1355" s="478"/>
      <c r="E1355" s="478"/>
      <c r="F1355" s="478"/>
      <c r="K1355" s="1933" t="str">
        <f>'Part VIII-Threshold Criteria'!K261</f>
        <v>SK Collaborative</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2131</v>
      </c>
      <c r="B1356" s="478" t="s">
        <v>3938</v>
      </c>
      <c r="D1356" s="478"/>
      <c r="E1356" s="478"/>
      <c r="F1356" s="478"/>
      <c r="G1356" s="478"/>
      <c r="H1356" s="478"/>
      <c r="I1356" s="1629"/>
      <c r="J1356" s="1629"/>
      <c r="K1356" s="1629"/>
      <c r="M1356" s="478"/>
      <c r="N1356" s="2002"/>
      <c r="O1356" s="1977" t="s">
        <v>2131</v>
      </c>
      <c r="P1356" s="1942" t="str">
        <f>'Part VIII-Threshold Criteria'!P262</f>
        <v>Yes</v>
      </c>
      <c r="Q1356" s="1942">
        <f>'Part VIII-Threshold Criteria'!Q262</f>
        <v>0</v>
      </c>
    </row>
    <row r="1357" spans="1:17" ht="12.75" customHeight="1">
      <c r="A1357" s="1975"/>
      <c r="B1357" s="1936" t="s">
        <v>3787</v>
      </c>
      <c r="C1357" s="1936"/>
      <c r="D1357" s="1936"/>
      <c r="E1357" s="1936"/>
      <c r="F1357" s="1936"/>
      <c r="G1357" s="1936"/>
      <c r="H1357" s="1156" t="s">
        <v>4165</v>
      </c>
      <c r="K1357" s="1629"/>
      <c r="M1357" s="478"/>
      <c r="N1357" s="2002"/>
      <c r="O1357" s="1977" t="s">
        <v>1750</v>
      </c>
      <c r="P1357" s="1942" t="str">
        <f>'Part VIII-Threshold Criteria'!P263</f>
        <v>Yes</v>
      </c>
      <c r="Q1357" s="1942">
        <f>'Part VIII-Threshold Criteria'!Q263</f>
        <v>0</v>
      </c>
    </row>
    <row r="1358" spans="1:17">
      <c r="A1358" s="1975"/>
      <c r="B1358" s="1936"/>
      <c r="C1358" s="1936"/>
      <c r="D1358" s="1936"/>
      <c r="E1358" s="1936"/>
      <c r="F1358" s="1936"/>
      <c r="G1358" s="1936"/>
      <c r="H1358" s="1156" t="s">
        <v>4166</v>
      </c>
      <c r="K1358" s="1629"/>
      <c r="M1358" s="478"/>
      <c r="N1358" s="2002"/>
      <c r="O1358" s="1977" t="s">
        <v>1751</v>
      </c>
      <c r="P1358" s="1942" t="str">
        <f>'Part VIII-Threshold Criteria'!P264</f>
        <v>Yes</v>
      </c>
      <c r="Q1358" s="1942">
        <f>'Part VIII-Threshold Criteria'!Q264</f>
        <v>0</v>
      </c>
    </row>
    <row r="1359" spans="1:17">
      <c r="A1359" s="1975"/>
      <c r="B1359" s="478"/>
      <c r="D1359" s="478"/>
      <c r="E1359" s="478"/>
      <c r="F1359" s="478"/>
      <c r="G1359" s="478"/>
      <c r="H1359" s="1156" t="s">
        <v>4167</v>
      </c>
      <c r="K1359" s="1629"/>
      <c r="M1359" s="478"/>
      <c r="N1359" s="2002"/>
      <c r="O1359" s="1977" t="s">
        <v>1752</v>
      </c>
      <c r="P1359" s="1942" t="str">
        <f>'Part VIII-Threshold Criteria'!P265</f>
        <v>Yes</v>
      </c>
      <c r="Q1359" s="1942">
        <f>'Part VIII-Threshold Criteria'!Q265</f>
        <v>0</v>
      </c>
    </row>
    <row r="1360" spans="1:17">
      <c r="A1360" s="1975"/>
      <c r="B1360" s="478"/>
      <c r="D1360" s="478"/>
      <c r="E1360" s="478"/>
      <c r="F1360" s="478"/>
      <c r="G1360" s="478"/>
      <c r="H1360" s="1156" t="s">
        <v>4168</v>
      </c>
      <c r="K1360" s="1629"/>
      <c r="M1360" s="478"/>
      <c r="N1360" s="2002"/>
      <c r="O1360" s="1977" t="s">
        <v>2381</v>
      </c>
      <c r="P1360" s="1942" t="str">
        <f>'Part VIII-Threshold Criteria'!P266</f>
        <v>Yes</v>
      </c>
      <c r="Q1360" s="1942">
        <f>'Part VIII-Threshold Criteria'!Q266</f>
        <v>0</v>
      </c>
    </row>
    <row r="1361" spans="1:17" ht="12.75" customHeight="1">
      <c r="A1361" s="1973" t="s">
        <v>1748</v>
      </c>
      <c r="B1361" s="1936" t="s">
        <v>4772</v>
      </c>
      <c r="C1361" s="1936"/>
      <c r="D1361" s="1936"/>
      <c r="E1361" s="1936"/>
      <c r="F1361" s="1936"/>
      <c r="G1361" s="1936"/>
      <c r="H1361" s="1936"/>
      <c r="I1361" s="1936"/>
      <c r="J1361" s="1936"/>
      <c r="K1361" s="1936"/>
      <c r="L1361" s="1936"/>
      <c r="M1361" s="1936"/>
      <c r="N1361" s="1936"/>
      <c r="O1361" s="1987" t="s">
        <v>1748</v>
      </c>
      <c r="P1361" s="1988" t="str">
        <f>'Part VIII-Threshold Criteria'!P267</f>
        <v>Agree</v>
      </c>
      <c r="Q1361" s="1988">
        <f>'Part VIII-Threshold Criteria'!Q267</f>
        <v>0</v>
      </c>
    </row>
    <row r="1362" spans="1:17">
      <c r="B1362" s="1873" t="s">
        <v>3779</v>
      </c>
      <c r="D1362" s="1873"/>
      <c r="E1362" s="1873"/>
      <c r="F1362" s="1873"/>
      <c r="G1362" s="1873"/>
      <c r="H1362" s="1872"/>
      <c r="I1362" s="1934"/>
      <c r="J1362" s="1934"/>
      <c r="K1362" s="1934"/>
      <c r="L1362" s="1836"/>
      <c r="M1362" s="1836"/>
      <c r="N1362" s="1836"/>
      <c r="O1362" s="1836"/>
      <c r="P1362" s="1836"/>
      <c r="Q1362" s="1836"/>
    </row>
    <row r="1363" spans="1:17" ht="236.25">
      <c r="A1363" s="1936" t="str">
        <f>'Part VIII-Threshold Criteria'!A269</f>
        <v>All information required by the QAP and DCA Rehabilitation Guide is found in Tab 14: PNA, Energy Audit, Rehabilitation Workscope and Fannie Mae forms.  All requirments have been satisfied.</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1880</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2267</v>
      </c>
      <c r="B1367" s="1818" t="s">
        <v>2680</v>
      </c>
      <c r="C1367" s="1818"/>
      <c r="D1367" s="1933"/>
      <c r="E1367" s="1933"/>
      <c r="F1367" s="1933"/>
      <c r="G1367" s="1933"/>
      <c r="H1367" s="1939"/>
      <c r="I1367" s="1939"/>
      <c r="J1367" s="1939"/>
      <c r="K1367" s="1939"/>
      <c r="L1367" s="1939"/>
      <c r="M1367" s="1939"/>
      <c r="O1367" s="1935" t="s">
        <v>1881</v>
      </c>
      <c r="P1367" s="1844">
        <f>'Part VIII-Threshold Criteria'!P273</f>
        <v>0</v>
      </c>
      <c r="Q1367" s="1844">
        <f>'Part VIII-Threshold Criteria'!Q273</f>
        <v>0</v>
      </c>
    </row>
    <row r="1369" spans="1:17" ht="12.75" customHeight="1">
      <c r="A1369" s="1973" t="s">
        <v>1999</v>
      </c>
      <c r="B1369" s="1936" t="s">
        <v>3940</v>
      </c>
      <c r="C1369" s="1936"/>
      <c r="D1369" s="1936"/>
      <c r="E1369" s="1936"/>
      <c r="F1369" s="1936"/>
      <c r="G1369" s="1936"/>
      <c r="H1369" s="1936"/>
      <c r="I1369" s="1936"/>
      <c r="J1369" s="1936"/>
      <c r="K1369" s="1936"/>
      <c r="L1369" s="1936"/>
      <c r="M1369" s="1936"/>
      <c r="N1369" s="1936"/>
      <c r="O1369" s="1987" t="s">
        <v>1999</v>
      </c>
      <c r="P1369" s="1988" t="str">
        <f>'Part VIII-Threshold Criteria'!P275</f>
        <v>Yes</v>
      </c>
      <c r="Q1369" s="1988">
        <f>'Part VIII-Threshold Criteria'!Q275</f>
        <v>0</v>
      </c>
    </row>
    <row r="1370" spans="1:17">
      <c r="A1370" s="1975"/>
      <c r="B1370" s="478" t="s">
        <v>3782</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2001</v>
      </c>
      <c r="B1371" s="478" t="s">
        <v>3783</v>
      </c>
      <c r="D1371" s="478"/>
      <c r="E1371" s="478"/>
      <c r="F1371" s="478"/>
      <c r="G1371" s="478"/>
      <c r="H1371" s="478"/>
      <c r="I1371" s="478"/>
      <c r="J1371" s="478"/>
      <c r="K1371" s="478"/>
      <c r="L1371" s="478"/>
      <c r="M1371" s="478"/>
      <c r="O1371" s="1977" t="s">
        <v>2001</v>
      </c>
      <c r="P1371" s="1942" t="str">
        <f>'Part VIII-Threshold Criteria'!P277</f>
        <v>Yes</v>
      </c>
      <c r="Q1371" s="1942">
        <f>'Part VIII-Threshold Criteria'!Q277</f>
        <v>0</v>
      </c>
    </row>
    <row r="1372" spans="1:17">
      <c r="A1372" s="1975" t="s">
        <v>757</v>
      </c>
      <c r="B1372" s="478" t="s">
        <v>4169</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3784</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2131</v>
      </c>
      <c r="B1374" s="478" t="s">
        <v>4170</v>
      </c>
      <c r="D1374" s="478"/>
      <c r="E1374" s="478"/>
      <c r="F1374" s="478"/>
      <c r="G1374" s="478"/>
      <c r="H1374" s="478"/>
      <c r="I1374" s="478"/>
      <c r="J1374" s="478"/>
      <c r="K1374" s="478"/>
      <c r="L1374" s="478"/>
      <c r="M1374" s="478"/>
      <c r="O1374" s="1977" t="s">
        <v>2131</v>
      </c>
      <c r="P1374" s="1942" t="str">
        <f>'Part VIII-Threshold Criteria'!P280</f>
        <v>Yes</v>
      </c>
      <c r="Q1374" s="1942">
        <f>'Part VIII-Threshold Criteria'!Q280</f>
        <v>0</v>
      </c>
    </row>
    <row r="1375" spans="1:17">
      <c r="B1375" s="1873" t="s">
        <v>3779</v>
      </c>
      <c r="D1375" s="1873"/>
      <c r="E1375" s="1873"/>
      <c r="F1375" s="1873"/>
      <c r="G1375" s="1873"/>
      <c r="H1375" s="1872"/>
      <c r="I1375" s="1934"/>
      <c r="J1375" s="1934"/>
      <c r="K1375" s="1934"/>
      <c r="L1375" s="1836"/>
      <c r="M1375" s="1836"/>
      <c r="N1375" s="1836"/>
      <c r="O1375" s="1836"/>
      <c r="P1375" s="1836"/>
      <c r="Q1375" s="1836"/>
    </row>
    <row r="1376" spans="1:17" ht="315">
      <c r="A1376" s="1936" t="str">
        <f>'Part VIII-Threshold Criteria'!A282</f>
        <v>The Conceptual Site Development Plan meets all DCA requirements.  Vicinity and location maps show geo coordinates and entire municipality.  Site pictures are in color, numbered, dated and include descriptions.  All pictures keyed to site plan.  Aerial included.  See Tab 15.</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1880</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4151</v>
      </c>
      <c r="B1379" s="1819" t="s">
        <v>2681</v>
      </c>
      <c r="C1379" s="1819"/>
      <c r="D1379" s="1939"/>
      <c r="E1379" s="1939"/>
      <c r="F1379" s="1939"/>
      <c r="G1379" s="1939"/>
      <c r="H1379" s="1939"/>
      <c r="I1379" s="1939"/>
      <c r="J1379" s="1939"/>
      <c r="K1379" s="1939"/>
      <c r="L1379" s="1939"/>
      <c r="M1379" s="1939"/>
      <c r="O1379" s="1935" t="s">
        <v>1881</v>
      </c>
      <c r="P1379" s="1844">
        <f>'Part VIII-Threshold Criteria'!P285</f>
        <v>0</v>
      </c>
      <c r="Q1379" s="1844">
        <f>'Part VIII-Threshold Criteria'!Q285</f>
        <v>0</v>
      </c>
    </row>
    <row r="1381" spans="1:17" ht="12.75" customHeight="1">
      <c r="A1381" s="1973" t="s">
        <v>1999</v>
      </c>
      <c r="B1381" s="1936" t="s">
        <v>2831</v>
      </c>
      <c r="C1381" s="1936"/>
      <c r="D1381" s="1936"/>
      <c r="E1381" s="1936"/>
      <c r="F1381" s="1936"/>
      <c r="G1381" s="1936"/>
      <c r="H1381" s="1936"/>
      <c r="I1381" s="1936"/>
      <c r="J1381" s="1936"/>
      <c r="K1381" s="1936"/>
      <c r="L1381" s="1936"/>
      <c r="M1381" s="1936"/>
      <c r="N1381" s="1936"/>
      <c r="O1381" s="1987" t="s">
        <v>1999</v>
      </c>
      <c r="P1381" s="1988" t="str">
        <f>'Part VIII-Threshold Criteria'!P287</f>
        <v>Agree</v>
      </c>
      <c r="Q1381" s="1988">
        <f>'Part VIII-Threshold Criteria'!Q287</f>
        <v>0</v>
      </c>
    </row>
    <row r="1382" spans="1:17" ht="12.75" customHeight="1">
      <c r="A1382" s="1973" t="s">
        <v>2001</v>
      </c>
      <c r="B1382" s="1936" t="s">
        <v>2832</v>
      </c>
      <c r="C1382" s="1936"/>
      <c r="D1382" s="1936"/>
      <c r="E1382" s="1936"/>
      <c r="F1382" s="1936"/>
      <c r="G1382" s="1936"/>
      <c r="H1382" s="1936"/>
      <c r="I1382" s="1936"/>
      <c r="J1382" s="1936"/>
      <c r="K1382" s="1936"/>
      <c r="L1382" s="1936"/>
      <c r="M1382" s="1936"/>
      <c r="N1382" s="1936"/>
      <c r="O1382" s="1987" t="s">
        <v>2001</v>
      </c>
      <c r="P1382" s="1988" t="str">
        <f>'Part VIII-Threshold Criteria'!P288</f>
        <v>Agree</v>
      </c>
      <c r="Q1382" s="1988">
        <f>'Part VIII-Threshold Criteria'!Q288</f>
        <v>0</v>
      </c>
    </row>
    <row r="1383" spans="1:17">
      <c r="B1383" s="1873" t="s">
        <v>3779</v>
      </c>
      <c r="D1383" s="1873"/>
      <c r="E1383" s="1873"/>
      <c r="F1383" s="1873"/>
      <c r="G1383" s="1873"/>
      <c r="H1383" s="1872"/>
      <c r="I1383" s="1934"/>
      <c r="J1383" s="1934"/>
      <c r="K1383" s="1934"/>
      <c r="L1383" s="1836"/>
      <c r="M1383" s="1836"/>
      <c r="N1383" s="1836"/>
      <c r="O1383" s="1836"/>
      <c r="P1383" s="1836"/>
      <c r="Q1383" s="1836"/>
    </row>
    <row r="1384" spans="1:17" ht="78.75">
      <c r="A1384" s="1936" t="str">
        <f>'Part VIII-Threshold Criteria'!A290</f>
        <v>We agree to all building sustainability requirements per the 2018 QAP.</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1880</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4152</v>
      </c>
      <c r="B1387" s="1819" t="s">
        <v>2682</v>
      </c>
      <c r="C1387" s="2003"/>
      <c r="D1387" s="2004"/>
      <c r="E1387" s="1939"/>
      <c r="F1387" s="1939"/>
      <c r="G1387" s="1939"/>
      <c r="H1387" s="1939"/>
      <c r="I1387" s="1939"/>
      <c r="J1387" s="1939"/>
      <c r="K1387" s="1939"/>
      <c r="L1387" s="1939"/>
      <c r="M1387" s="1939"/>
      <c r="O1387" s="1935" t="s">
        <v>1881</v>
      </c>
      <c r="P1387" s="1844">
        <f>'Part VIII-Threshold Criteria'!P293</f>
        <v>0</v>
      </c>
      <c r="Q1387" s="1844">
        <f>'Part VIII-Threshold Criteria'!Q293</f>
        <v>0</v>
      </c>
    </row>
    <row r="1388" spans="1:17">
      <c r="A1388" s="1860" t="s">
        <v>1999</v>
      </c>
      <c r="B1388" s="1819" t="s">
        <v>4773</v>
      </c>
    </row>
    <row r="1389" spans="1:17" ht="12.75" customHeight="1">
      <c r="A1389" s="1973"/>
      <c r="B1389" s="1987" t="s">
        <v>1750</v>
      </c>
      <c r="C1389" s="1936" t="s">
        <v>3942</v>
      </c>
      <c r="D1389" s="1936"/>
      <c r="E1389" s="1936"/>
      <c r="F1389" s="1936"/>
      <c r="G1389" s="1936"/>
      <c r="H1389" s="1936"/>
      <c r="I1389" s="1936"/>
      <c r="J1389" s="1936"/>
      <c r="K1389" s="1936"/>
      <c r="L1389" s="1936"/>
      <c r="M1389" s="1936"/>
      <c r="N1389" s="1936"/>
      <c r="O1389" s="1987" t="s">
        <v>2744</v>
      </c>
      <c r="P1389" s="1988" t="str">
        <f>'Part VIII-Threshold Criteria'!P295</f>
        <v>Yes</v>
      </c>
      <c r="Q1389" s="1988">
        <f>'Part VIII-Threshold Criteria'!Q295</f>
        <v>0</v>
      </c>
    </row>
    <row r="1390" spans="1:17" ht="12.75" customHeight="1">
      <c r="A1390" s="1973"/>
      <c r="B1390" s="1987" t="s">
        <v>1751</v>
      </c>
      <c r="C1390" s="1936" t="s">
        <v>3943</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3941</v>
      </c>
      <c r="D1391" s="1936"/>
      <c r="E1391" s="1936"/>
      <c r="F1391" s="1936"/>
      <c r="G1391" s="1936"/>
      <c r="H1391" s="1936"/>
      <c r="I1391" s="1936"/>
      <c r="J1391" s="1936"/>
      <c r="K1391" s="1936"/>
      <c r="L1391" s="1936"/>
      <c r="M1391" s="1936"/>
      <c r="N1391" s="1936"/>
      <c r="O1391" s="1987" t="s">
        <v>1752</v>
      </c>
      <c r="P1391" s="1988">
        <f>'Part VIII-Threshold Criteria'!P297</f>
        <v>0</v>
      </c>
      <c r="Q1391" s="1988">
        <f>'Part VIII-Threshold Criteria'!Q297</f>
        <v>0</v>
      </c>
    </row>
    <row r="1392" spans="1:17">
      <c r="A1392" s="1860" t="s">
        <v>2001</v>
      </c>
      <c r="B1392" s="1819" t="s">
        <v>3908</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4774</v>
      </c>
      <c r="D1393" s="1936"/>
      <c r="E1393" s="1936"/>
      <c r="F1393" s="1936"/>
      <c r="G1393" s="1936"/>
      <c r="H1393" s="1936"/>
      <c r="I1393" s="1961"/>
      <c r="J1393" s="1944" t="s">
        <v>3822</v>
      </c>
      <c r="K1393" s="1999"/>
      <c r="L1393" s="1999"/>
      <c r="M1393" s="2006" t="s">
        <v>3789</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3790</v>
      </c>
      <c r="N1394" s="1934" t="s">
        <v>3821</v>
      </c>
      <c r="O1394" s="1625"/>
      <c r="P1394" s="1647"/>
      <c r="Q1394" s="1625"/>
    </row>
    <row r="1395" spans="1:17">
      <c r="A1395" s="1628"/>
      <c r="B1395" s="1625"/>
      <c r="C1395" s="1936"/>
      <c r="D1395" s="1936"/>
      <c r="E1395" s="1936"/>
      <c r="F1395" s="1936"/>
      <c r="G1395" s="1936"/>
      <c r="H1395" s="1936"/>
      <c r="I1395" s="478" t="s">
        <v>4172</v>
      </c>
      <c r="J1395" s="1625"/>
      <c r="K1395" s="2007">
        <f>'Part VIII-Threshold Criteria'!K301</f>
        <v>7</v>
      </c>
      <c r="L1395" s="1626" t="str">
        <f>IF(K1395&lt;M1395,"Check!!!","")</f>
        <v/>
      </c>
      <c r="M1395" s="2008">
        <f>'Part VIII-Threshold Criteria'!M301</f>
        <v>7</v>
      </c>
      <c r="N1395" s="2009">
        <f>'DCA Underwriting Assumptions'!$Q$136</f>
        <v>0.05</v>
      </c>
      <c r="O1395" s="1977" t="s">
        <v>3664</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4775</v>
      </c>
      <c r="D1397" s="1936"/>
      <c r="E1397" s="1936"/>
      <c r="F1397" s="1936"/>
      <c r="G1397" s="1936"/>
      <c r="H1397" s="1936"/>
      <c r="I1397" s="2010" t="s">
        <v>4173</v>
      </c>
      <c r="J1397" s="1625"/>
      <c r="K1397" s="2007">
        <f>'Part VIII-Threshold Criteria'!K303</f>
        <v>3</v>
      </c>
      <c r="L1397" s="1626" t="str">
        <f>IF(K1397&lt;M1397,"Check!!!","")</f>
        <v/>
      </c>
      <c r="M1397" s="2008">
        <f>'Part VIII-Threshold Criteria'!M303</f>
        <v>3</v>
      </c>
      <c r="N1397" s="2009">
        <f>'DCA Underwriting Assumptions'!$Q$137</f>
        <v>0.4</v>
      </c>
      <c r="O1397" s="1977" t="s">
        <v>2133</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4776</v>
      </c>
      <c r="D1399" s="1936"/>
      <c r="E1399" s="1936"/>
      <c r="F1399" s="1936"/>
      <c r="G1399" s="1936"/>
      <c r="H1399" s="1936"/>
      <c r="I1399" s="478" t="s">
        <v>4174</v>
      </c>
      <c r="J1399" s="1625"/>
      <c r="K1399" s="2007">
        <f>'Part VIII-Threshold Criteria'!K305</f>
        <v>3</v>
      </c>
      <c r="L1399" s="1626" t="str">
        <f>IF(K1399&lt;M1399,"Check!!!","")</f>
        <v/>
      </c>
      <c r="M1399" s="2008">
        <f>'Part VIII-Threshold Criteria'!M305</f>
        <v>3</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3909</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3666</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3667</v>
      </c>
      <c r="C1404" s="1629"/>
      <c r="D1404" s="1961"/>
      <c r="E1404" s="1961"/>
      <c r="F1404" s="1961"/>
      <c r="G1404" s="1961"/>
      <c r="H1404" s="1961"/>
      <c r="I1404" s="1961" t="s">
        <v>3788</v>
      </c>
      <c r="J1404" s="1961"/>
      <c r="K1404" s="1961"/>
      <c r="L1404" s="1961" t="str">
        <f>'Part VIII-Threshold Criteria'!L310</f>
        <v>Annie Walker-Bryant</v>
      </c>
      <c r="M1404" s="1961">
        <f>'Part VIII-Threshold Criteria'!M310</f>
        <v>0</v>
      </c>
      <c r="N1404" s="1961">
        <f>'Part VIII-Threshold Criteria'!N310</f>
        <v>0</v>
      </c>
      <c r="O1404" s="1961"/>
      <c r="P1404" s="1961"/>
      <c r="Q1404" s="1961"/>
    </row>
    <row r="1405" spans="1:17" ht="12.75" customHeight="1">
      <c r="A1405" s="1953"/>
      <c r="B1405" s="1987" t="s">
        <v>1750</v>
      </c>
      <c r="C1405" s="1936" t="s">
        <v>3665</v>
      </c>
      <c r="D1405" s="1936"/>
      <c r="E1405" s="1936"/>
      <c r="F1405" s="1936"/>
      <c r="G1405" s="1936"/>
      <c r="H1405" s="1936"/>
      <c r="I1405" s="1936"/>
      <c r="J1405" s="1936"/>
      <c r="K1405" s="1936"/>
      <c r="L1405" s="1936"/>
      <c r="M1405" s="1936"/>
      <c r="N1405" s="1936"/>
      <c r="O1405" s="1987" t="s">
        <v>3670</v>
      </c>
      <c r="P1405" s="1988" t="str">
        <f>'Part VIII-Threshold Criteria'!P311</f>
        <v>Yes</v>
      </c>
      <c r="Q1405" s="1988">
        <f>'Part VIII-Threshold Criteria'!Q311</f>
        <v>0</v>
      </c>
    </row>
    <row r="1406" spans="1:17" ht="12.75" customHeight="1">
      <c r="A1406" s="1953"/>
      <c r="B1406" s="1987" t="s">
        <v>1751</v>
      </c>
      <c r="C1406" s="1936" t="s">
        <v>3710</v>
      </c>
      <c r="D1406" s="1936"/>
      <c r="E1406" s="1936"/>
      <c r="F1406" s="1936"/>
      <c r="G1406" s="1936"/>
      <c r="H1406" s="1936"/>
      <c r="I1406" s="1936"/>
      <c r="J1406" s="1936"/>
      <c r="K1406" s="1936"/>
      <c r="L1406" s="1936"/>
      <c r="M1406" s="1936"/>
      <c r="N1406" s="1936"/>
      <c r="O1406" s="1987" t="s">
        <v>3671</v>
      </c>
      <c r="P1406" s="1988" t="str">
        <f>'Part VIII-Threshold Criteria'!P312</f>
        <v>Yes</v>
      </c>
      <c r="Q1406" s="1988">
        <f>'Part VIII-Threshold Criteria'!Q312</f>
        <v>0</v>
      </c>
    </row>
    <row r="1407" spans="1:17" ht="12.75" customHeight="1">
      <c r="A1407" s="1953"/>
      <c r="B1407" s="1987" t="s">
        <v>1752</v>
      </c>
      <c r="C1407" s="1936" t="s">
        <v>3668</v>
      </c>
      <c r="D1407" s="1936"/>
      <c r="E1407" s="1936"/>
      <c r="F1407" s="1936"/>
      <c r="G1407" s="1936"/>
      <c r="H1407" s="1936"/>
      <c r="I1407" s="1936"/>
      <c r="J1407" s="1936"/>
      <c r="K1407" s="1936"/>
      <c r="L1407" s="1936"/>
      <c r="M1407" s="1936"/>
      <c r="N1407" s="1936"/>
      <c r="O1407" s="1987" t="s">
        <v>3672</v>
      </c>
      <c r="P1407" s="1988" t="str">
        <f>'Part VIII-Threshold Criteria'!P313</f>
        <v>Yes</v>
      </c>
      <c r="Q1407" s="1988">
        <f>'Part VIII-Threshold Criteria'!Q313</f>
        <v>0</v>
      </c>
    </row>
    <row r="1408" spans="1:17" ht="12.75" customHeight="1">
      <c r="A1408" s="1953"/>
      <c r="B1408" s="1987" t="s">
        <v>2381</v>
      </c>
      <c r="C1408" s="1936" t="s">
        <v>3669</v>
      </c>
      <c r="D1408" s="1936"/>
      <c r="E1408" s="1936"/>
      <c r="F1408" s="1936"/>
      <c r="G1408" s="1936"/>
      <c r="H1408" s="1936"/>
      <c r="I1408" s="1936"/>
      <c r="J1408" s="1936"/>
      <c r="K1408" s="1936"/>
      <c r="L1408" s="1936"/>
      <c r="M1408" s="1936"/>
      <c r="N1408" s="1936"/>
      <c r="O1408" s="1987" t="s">
        <v>3673</v>
      </c>
      <c r="P1408" s="1988" t="str">
        <f>'Part VIII-Threshold Criteria'!P314</f>
        <v>Yes</v>
      </c>
      <c r="Q1408" s="1988">
        <f>'Part VIII-Threshold Criteria'!Q314</f>
        <v>0</v>
      </c>
    </row>
    <row r="1409" spans="1:17">
      <c r="B1409" s="1873" t="s">
        <v>3779</v>
      </c>
      <c r="D1409" s="1873"/>
      <c r="E1409" s="1873"/>
      <c r="F1409" s="1873"/>
      <c r="G1409" s="1873"/>
      <c r="H1409" s="1872"/>
      <c r="I1409" s="1934"/>
      <c r="J1409" s="1934"/>
      <c r="K1409" s="1934"/>
      <c r="L1409" s="1836"/>
      <c r="M1409" s="1836"/>
      <c r="N1409" s="1836"/>
      <c r="O1409" s="1836"/>
      <c r="P1409" s="1836"/>
      <c r="Q1409" s="1836"/>
    </row>
    <row r="1410" spans="1:17" ht="135">
      <c r="A1410" s="1936" t="str">
        <f>'Part VIII-Threshold Criteria'!A316</f>
        <v>We agree to meet all accessibility requirements per the 2018 QAP and 2018 Architectural and Accessibilty Manuals listed above</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1880</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4150</v>
      </c>
      <c r="B1413" s="1818" t="s">
        <v>2683</v>
      </c>
      <c r="C1413" s="1818"/>
      <c r="D1413" s="1818"/>
      <c r="E1413" s="1818"/>
      <c r="F1413" s="1818"/>
      <c r="G1413" s="1818"/>
      <c r="H1413" s="1939"/>
      <c r="I1413" s="1939"/>
      <c r="J1413" s="1939"/>
      <c r="K1413" s="1939"/>
      <c r="L1413" s="1939"/>
      <c r="M1413" s="1939"/>
      <c r="O1413" s="1935" t="s">
        <v>1881</v>
      </c>
      <c r="P1413" s="1844">
        <f>'Part VIII-Threshold Criteria'!P319</f>
        <v>0</v>
      </c>
      <c r="Q1413" s="1844">
        <f>'Part VIII-Threshold Criteria'!Q319</f>
        <v>0</v>
      </c>
    </row>
    <row r="1414" spans="1:17">
      <c r="B1414" s="1156" t="s">
        <v>2268</v>
      </c>
      <c r="P1414" s="1942" t="str">
        <f>'Part VIII-Threshold Criteria'!P320</f>
        <v>No</v>
      </c>
      <c r="Q1414" s="1942">
        <f>'Part VIII-Threshold Criteria'!Q320</f>
        <v>0</v>
      </c>
    </row>
    <row r="1415" spans="1:17">
      <c r="B1415" s="1996" t="s">
        <v>2227</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1999</v>
      </c>
      <c r="B1416" s="1969" t="s">
        <v>4777</v>
      </c>
      <c r="D1416" s="1872"/>
      <c r="E1416" s="1872"/>
      <c r="F1416" s="1872"/>
      <c r="G1416" s="1872"/>
      <c r="H1416" s="1872"/>
      <c r="I1416" s="1872"/>
      <c r="J1416" s="1872"/>
      <c r="K1416" s="1872"/>
      <c r="L1416" s="1872"/>
      <c r="M1416" s="1872"/>
      <c r="N1416" s="1987"/>
    </row>
    <row r="1417" spans="1:17" ht="12.75" customHeight="1">
      <c r="B1417" s="1936" t="s">
        <v>2900</v>
      </c>
      <c r="C1417" s="1936"/>
      <c r="D1417" s="1936"/>
      <c r="E1417" s="1936"/>
      <c r="F1417" s="1936"/>
      <c r="G1417" s="1936"/>
      <c r="H1417" s="1936"/>
      <c r="I1417" s="1936"/>
      <c r="J1417" s="1936"/>
      <c r="K1417" s="1936"/>
      <c r="L1417" s="1936"/>
      <c r="M1417" s="1936"/>
      <c r="N1417" s="1936"/>
      <c r="O1417" s="1987" t="s">
        <v>1999</v>
      </c>
      <c r="P1417" s="1988" t="str">
        <f>'Part VIII-Threshold Criteria'!P323</f>
        <v>Yes</v>
      </c>
      <c r="Q1417" s="1988">
        <f>'Part VIII-Threshold Criteria'!Q323</f>
        <v>0</v>
      </c>
    </row>
    <row r="1418" spans="1:17">
      <c r="A1418" s="1973" t="s">
        <v>2001</v>
      </c>
      <c r="B1418" s="1933" t="s">
        <v>464</v>
      </c>
      <c r="D1418" s="1933"/>
      <c r="E1418" s="1933"/>
      <c r="F1418" s="1933"/>
      <c r="G1418" s="1933"/>
      <c r="H1418" s="1933"/>
      <c r="I1418" s="1933"/>
      <c r="J1418" s="1933"/>
      <c r="K1418" s="1933"/>
      <c r="L1418" s="1933"/>
      <c r="M1418" s="1933"/>
      <c r="O1418" s="1987" t="s">
        <v>2001</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Upgraded roofing shingles, or roofing materials  (warranty 30 years or greater)</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4778</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3779</v>
      </c>
      <c r="D1426" s="1873"/>
      <c r="E1426" s="1873"/>
      <c r="F1426" s="1873"/>
      <c r="G1426" s="1873"/>
      <c r="H1426" s="1872"/>
      <c r="I1426" s="1934"/>
      <c r="J1426" s="1934"/>
      <c r="K1426" s="1934"/>
      <c r="L1426" s="1836"/>
      <c r="M1426" s="1836"/>
      <c r="N1426" s="1836"/>
      <c r="O1426" s="1836"/>
      <c r="P1426" s="1836"/>
      <c r="Q1426" s="1836"/>
    </row>
    <row r="1427" spans="1:17" ht="225">
      <c r="A1427" s="1936" t="str">
        <f>'Part VIII-Threshold Criteria'!A333</f>
        <v>We agree to meet all Architectural and Design Quality standards on the 2018 Architectural Standards Manual. We are proposing to maintain at least 40% of the brick on the existing building.</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1880</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4153</v>
      </c>
      <c r="B1430" s="1819" t="s">
        <v>4192</v>
      </c>
      <c r="C1430" s="1819"/>
      <c r="D1430" s="1939"/>
      <c r="E1430" s="1939"/>
      <c r="F1430" s="1939"/>
      <c r="G1430" s="1939"/>
      <c r="H1430" s="1939"/>
      <c r="O1430" s="1935" t="s">
        <v>1881</v>
      </c>
      <c r="P1430" s="1844">
        <f>'Part VIII-Threshold Criteria'!P336</f>
        <v>0</v>
      </c>
      <c r="Q1430" s="1844">
        <f>'Part VIII-Threshold Criteria'!Q336</f>
        <v>0</v>
      </c>
    </row>
    <row r="1431" spans="1:17">
      <c r="A1431" s="1975" t="s">
        <v>1999</v>
      </c>
      <c r="B1431" s="1156" t="s">
        <v>3947</v>
      </c>
      <c r="O1431" s="1987" t="s">
        <v>1999</v>
      </c>
      <c r="P1431" s="1942" t="str">
        <f>'Part VIII-Threshold Criteria'!P337</f>
        <v>Yes</v>
      </c>
      <c r="Q1431" s="1942">
        <f>'Part VIII-Threshold Criteria'!Q337</f>
        <v>0</v>
      </c>
    </row>
    <row r="1432" spans="1:17">
      <c r="A1432" s="1973" t="s">
        <v>2001</v>
      </c>
      <c r="B1432" s="1156" t="s">
        <v>4137</v>
      </c>
      <c r="O1432" s="1987" t="s">
        <v>2001</v>
      </c>
      <c r="P1432" s="1942" t="str">
        <f>'Part VIII-Threshold Criteria'!P338</f>
        <v>Yes</v>
      </c>
      <c r="Q1432" s="1942">
        <f>'Part VIII-Threshold Criteria'!Q338</f>
        <v>0</v>
      </c>
    </row>
    <row r="1433" spans="1:17">
      <c r="A1433" s="1973" t="s">
        <v>757</v>
      </c>
      <c r="B1433" s="1156" t="s">
        <v>2366</v>
      </c>
      <c r="O1433" s="1987" t="s">
        <v>757</v>
      </c>
      <c r="P1433" s="1942" t="str">
        <f>'Part VIII-Threshold Criteria'!P339</f>
        <v>No</v>
      </c>
      <c r="Q1433" s="1942">
        <f>'Part VIII-Threshold Criteria'!Q339</f>
        <v>0</v>
      </c>
    </row>
    <row r="1434" spans="1:17">
      <c r="A1434" s="1975" t="s">
        <v>2131</v>
      </c>
      <c r="B1434" s="1156" t="s">
        <v>3871</v>
      </c>
      <c r="O1434" s="1977" t="s">
        <v>2131</v>
      </c>
      <c r="P1434" s="1942" t="str">
        <f>'Part VIII-Threshold Criteria'!P340</f>
        <v>No</v>
      </c>
      <c r="Q1434" s="1942">
        <f>'Part VIII-Threshold Criteria'!Q340</f>
        <v>0</v>
      </c>
    </row>
    <row r="1435" spans="1:17">
      <c r="A1435" s="1973" t="s">
        <v>1748</v>
      </c>
      <c r="B1435" s="1156" t="s">
        <v>2903</v>
      </c>
      <c r="N1435" s="1987" t="s">
        <v>1748</v>
      </c>
      <c r="O1435" s="1642" t="str">
        <f>'Part VIII-Threshold Criteria'!O341</f>
        <v>Certifying GP/Developer</v>
      </c>
      <c r="P1435" s="1642">
        <f>'Part VIII-Threshold Criteria'!P341</f>
        <v>0</v>
      </c>
      <c r="Q1435" s="1642">
        <f>'Part VIII-Threshold Criteria'!Q341</f>
        <v>0</v>
      </c>
    </row>
    <row r="1436" spans="1:17">
      <c r="A1436" s="1973" t="s">
        <v>1749</v>
      </c>
      <c r="B1436" s="1993" t="s">
        <v>2367</v>
      </c>
      <c r="N1436" s="1987" t="s">
        <v>1749</v>
      </c>
      <c r="O1436" s="1642" t="str">
        <f>'Part VIII-Threshold Criteria'!O342</f>
        <v>&lt;&lt; Select Designation &gt;&gt;</v>
      </c>
      <c r="P1436" s="1642">
        <f>'Part VIII-Threshold Criteria'!P342</f>
        <v>0</v>
      </c>
      <c r="Q1436" s="1642">
        <f>'Part VIII-Threshold Criteria'!Q342</f>
        <v>0</v>
      </c>
    </row>
    <row r="1437" spans="1:17">
      <c r="B1437" s="1873" t="s">
        <v>3779</v>
      </c>
      <c r="D1437" s="1873"/>
      <c r="E1437" s="1873"/>
      <c r="F1437" s="1873"/>
      <c r="G1437" s="1873"/>
      <c r="H1437" s="1872"/>
      <c r="I1437" s="1934"/>
      <c r="J1437" s="1934"/>
      <c r="K1437" s="1934"/>
      <c r="L1437" s="1836"/>
      <c r="M1437" s="1836"/>
      <c r="N1437" s="1836"/>
      <c r="O1437" s="1836"/>
      <c r="P1437" s="1836"/>
      <c r="Q1437" s="1836"/>
    </row>
    <row r="1438" spans="1:17" ht="123.75">
      <c r="A1438" s="1936" t="str">
        <f>'Part VIII-Threshold Criteria'!A344</f>
        <v xml:space="preserve">Quest Community Development Organization has been deemed Qualified based on the CHDO Exception.  </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1880</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4154</v>
      </c>
      <c r="B1441" s="1818" t="s">
        <v>2684</v>
      </c>
      <c r="C1441" s="1818"/>
      <c r="D1441" s="1933"/>
      <c r="E1441" s="1939"/>
      <c r="F1441" s="1939"/>
      <c r="G1441" s="1939"/>
      <c r="H1441" s="1939"/>
      <c r="I1441" s="1939"/>
      <c r="J1441" s="1939"/>
      <c r="K1441" s="1939"/>
      <c r="L1441" s="1939"/>
      <c r="M1441" s="1939"/>
      <c r="O1441" s="1935" t="s">
        <v>1881</v>
      </c>
      <c r="P1441" s="1844">
        <f>'Part VIII-Threshold Criteria'!P347</f>
        <v>0</v>
      </c>
      <c r="Q1441" s="1844">
        <f>'Part VIII-Threshold Criteria'!Q347</f>
        <v>0</v>
      </c>
    </row>
    <row r="1442" spans="1:17">
      <c r="A1442" s="1973" t="s">
        <v>1999</v>
      </c>
      <c r="B1442" s="1961" t="s">
        <v>3682</v>
      </c>
      <c r="D1442" s="1961"/>
      <c r="E1442" s="1961"/>
      <c r="F1442" s="1961"/>
      <c r="G1442" s="1961"/>
      <c r="H1442" s="1961"/>
      <c r="I1442" s="1961"/>
      <c r="J1442" s="1961"/>
      <c r="K1442" s="1961"/>
      <c r="L1442" s="1961"/>
      <c r="M1442" s="1961"/>
      <c r="N1442" s="1961"/>
      <c r="O1442" s="1987" t="s">
        <v>1999</v>
      </c>
      <c r="P1442" s="1942" t="str">
        <f>'Part VIII-Threshold Criteria'!P348</f>
        <v>Yes</v>
      </c>
      <c r="Q1442" s="1942">
        <f>'Part VIII-Threshold Criteria'!Q348</f>
        <v>0</v>
      </c>
    </row>
    <row r="1443" spans="1:17">
      <c r="A1443" s="1973" t="s">
        <v>2001</v>
      </c>
      <c r="B1443" s="1961" t="s">
        <v>3880</v>
      </c>
      <c r="D1443" s="1961"/>
      <c r="E1443" s="1961"/>
      <c r="F1443" s="1961"/>
      <c r="G1443" s="1961"/>
      <c r="H1443" s="1961"/>
      <c r="I1443" s="1961"/>
      <c r="J1443" s="1961"/>
      <c r="K1443" s="1961"/>
      <c r="L1443" s="1961"/>
      <c r="M1443" s="1961"/>
      <c r="N1443" s="1961"/>
      <c r="O1443" s="1987" t="s">
        <v>2001</v>
      </c>
      <c r="P1443" s="1942" t="str">
        <f>'Part VIII-Threshold Criteria'!P349</f>
        <v>No</v>
      </c>
      <c r="Q1443" s="1942">
        <f>'Part VIII-Threshold Criteria'!Q349</f>
        <v>0</v>
      </c>
    </row>
    <row r="1444" spans="1:17" ht="12.75" customHeight="1">
      <c r="A1444" s="1973" t="s">
        <v>757</v>
      </c>
      <c r="B1444" s="1936" t="s">
        <v>4138</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3779</v>
      </c>
      <c r="D1445" s="1873"/>
      <c r="E1445" s="1873"/>
      <c r="F1445" s="1873"/>
      <c r="G1445" s="1873"/>
      <c r="H1445" s="1872"/>
      <c r="I1445" s="1934"/>
      <c r="J1445" s="1934"/>
      <c r="K1445" s="1934"/>
      <c r="L1445" s="1836"/>
      <c r="M1445" s="1836"/>
      <c r="N1445" s="1836"/>
      <c r="O1445" s="1836"/>
      <c r="P1445" s="1836"/>
      <c r="Q1445" s="1836"/>
    </row>
    <row r="1446" spans="1:17" ht="78.75">
      <c r="A1446" s="1936" t="str">
        <f>'Part VIII-Threshold Criteria'!A352</f>
        <v xml:space="preserve">Compliance History summary was submitted at pre-application. </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1880</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4157</v>
      </c>
      <c r="B1450" s="1818" t="s">
        <v>4124</v>
      </c>
      <c r="C1450" s="1818"/>
      <c r="D1450" s="1818"/>
      <c r="E1450" s="1818"/>
      <c r="F1450" s="1818"/>
      <c r="G1450" s="1818"/>
      <c r="H1450" s="1939"/>
      <c r="I1450" s="1939"/>
      <c r="J1450" s="1939"/>
      <c r="K1450" s="1939"/>
      <c r="L1450" s="1939"/>
      <c r="M1450" s="1939"/>
      <c r="O1450" s="1935" t="s">
        <v>1881</v>
      </c>
      <c r="P1450" s="1844">
        <f>'Part VIII-Threshold Criteria'!P356</f>
        <v>0</v>
      </c>
      <c r="Q1450" s="1844">
        <f>'Part VIII-Threshold Criteria'!Q356</f>
        <v>0</v>
      </c>
    </row>
    <row r="1451" spans="1:17">
      <c r="A1451" s="1975" t="s">
        <v>1999</v>
      </c>
      <c r="B1451" s="478" t="s">
        <v>4125</v>
      </c>
      <c r="D1451" s="1834"/>
      <c r="E1451" s="1834"/>
      <c r="F1451" s="1834"/>
      <c r="G1451" s="1834"/>
      <c r="H1451" s="1977" t="s">
        <v>1999</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2001</v>
      </c>
      <c r="B1452" s="478" t="s">
        <v>4126</v>
      </c>
      <c r="D1452" s="1834"/>
      <c r="E1452" s="1834"/>
      <c r="F1452" s="1834"/>
      <c r="G1452" s="1834"/>
      <c r="H1452" s="1987" t="s">
        <v>2001</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4116</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2131</v>
      </c>
      <c r="B1454" s="1936" t="s">
        <v>4117</v>
      </c>
      <c r="C1454" s="1936"/>
      <c r="D1454" s="1936"/>
      <c r="E1454" s="1936"/>
      <c r="F1454" s="1936"/>
      <c r="G1454" s="1936"/>
      <c r="H1454" s="1936"/>
      <c r="I1454" s="1936"/>
      <c r="J1454" s="1936"/>
      <c r="K1454" s="1936"/>
      <c r="L1454" s="1936"/>
      <c r="M1454" s="1936"/>
      <c r="N1454" s="1936"/>
      <c r="O1454" s="1977" t="s">
        <v>2131</v>
      </c>
      <c r="P1454" s="1988">
        <f>'Part VIII-Threshold Criteria'!P360</f>
        <v>0</v>
      </c>
      <c r="Q1454" s="1988">
        <f>'Part VIII-Threshold Criteria'!Q360</f>
        <v>0</v>
      </c>
    </row>
    <row r="1455" spans="1:17">
      <c r="A1455" s="1973" t="s">
        <v>1748</v>
      </c>
      <c r="B1455" s="478" t="s">
        <v>4118</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4119</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1962</v>
      </c>
      <c r="B1457" s="1961" t="s">
        <v>4120</v>
      </c>
      <c r="C1457" s="1953"/>
      <c r="D1457" s="1936"/>
      <c r="E1457" s="1936"/>
      <c r="F1457" s="1936"/>
      <c r="G1457" s="1936"/>
      <c r="H1457" s="1936"/>
      <c r="I1457" s="1936"/>
      <c r="J1457" s="1936"/>
      <c r="K1457" s="1936"/>
      <c r="L1457" s="1936"/>
      <c r="M1457" s="1936"/>
      <c r="N1457" s="1936"/>
      <c r="O1457" s="1987" t="s">
        <v>1962</v>
      </c>
      <c r="P1457" s="1988">
        <f>'Part VIII-Threshold Criteria'!P363</f>
        <v>0</v>
      </c>
      <c r="Q1457" s="1988">
        <f>'Part VIII-Threshold Criteria'!Q363</f>
        <v>0</v>
      </c>
    </row>
    <row r="1458" spans="1:17">
      <c r="A1458" s="1953"/>
      <c r="B1458" s="1953"/>
      <c r="C1458" s="1996" t="s">
        <v>4779</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3392</v>
      </c>
      <c r="B1459" s="1936" t="s">
        <v>4121</v>
      </c>
      <c r="C1459" s="1936"/>
      <c r="D1459" s="1936"/>
      <c r="E1459" s="1936"/>
      <c r="F1459" s="1936"/>
      <c r="G1459" s="1936"/>
      <c r="H1459" s="1936"/>
      <c r="I1459" s="1936"/>
      <c r="J1459" s="1936"/>
      <c r="K1459" s="1936"/>
      <c r="L1459" s="1936"/>
      <c r="M1459" s="1936"/>
      <c r="N1459" s="1936"/>
      <c r="O1459" s="1987" t="s">
        <v>3392</v>
      </c>
      <c r="P1459" s="1988">
        <f>'Part VIII-Threshold Criteria'!P365</f>
        <v>0</v>
      </c>
      <c r="Q1459" s="1988">
        <f>'Part VIII-Threshold Criteria'!Q365</f>
        <v>0</v>
      </c>
    </row>
    <row r="1460" spans="1:17" ht="12.75" customHeight="1">
      <c r="A1460" s="1973" t="s">
        <v>622</v>
      </c>
      <c r="B1460" s="1936" t="s">
        <v>4122</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3779</v>
      </c>
      <c r="D1461" s="1873"/>
      <c r="E1461" s="1873"/>
      <c r="F1461" s="1873"/>
      <c r="G1461" s="1873"/>
      <c r="H1461" s="1872"/>
      <c r="I1461" s="1934"/>
      <c r="J1461" s="1934"/>
      <c r="K1461" s="1934"/>
      <c r="L1461" s="1836"/>
      <c r="M1461" s="1836"/>
      <c r="N1461" s="1836"/>
      <c r="O1461" s="1836"/>
      <c r="P1461" s="1836"/>
      <c r="Q1461" s="1836"/>
    </row>
    <row r="1462" spans="1:17">
      <c r="A1462" s="1936">
        <f>'Part VIII-Threshold Criteria'!A368</f>
        <v>0</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1880</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4158</v>
      </c>
      <c r="B1466" s="1818" t="s">
        <v>3948</v>
      </c>
      <c r="C1466" s="1818"/>
      <c r="D1466" s="1818"/>
      <c r="E1466" s="1818"/>
      <c r="F1466" s="1818"/>
      <c r="G1466" s="1818"/>
      <c r="H1466" s="1939"/>
      <c r="I1466" s="1939"/>
      <c r="J1466" s="1939"/>
      <c r="O1466" s="1935" t="s">
        <v>1881</v>
      </c>
      <c r="P1466" s="1844">
        <f>'Part VIII-Threshold Criteria'!P372</f>
        <v>0</v>
      </c>
      <c r="Q1466" s="1844">
        <f>'Part VIII-Threshold Criteria'!Q372</f>
        <v>0</v>
      </c>
    </row>
    <row r="1467" spans="1:17">
      <c r="A1467" s="1975" t="s">
        <v>1999</v>
      </c>
      <c r="B1467" s="1933" t="s">
        <v>3950</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4175</v>
      </c>
      <c r="D1468" s="478"/>
      <c r="E1468" s="478"/>
      <c r="F1468" s="478"/>
      <c r="G1468" s="1933">
        <f>'Part VIII-Threshold Criteria'!G374</f>
        <v>0</v>
      </c>
      <c r="H1468" s="1933">
        <f>'Part VIII-Threshold Criteria'!H374</f>
        <v>0</v>
      </c>
      <c r="I1468" s="1933">
        <f>'Part VIII-Threshold Criteria'!I374</f>
        <v>0</v>
      </c>
      <c r="J1468" s="1934" t="s">
        <v>3957</v>
      </c>
      <c r="K1468" s="1933">
        <f>'Part VIII-Threshold Criteria'!K374</f>
        <v>0</v>
      </c>
      <c r="L1468" s="1933">
        <f>'Part VIII-Threshold Criteria'!L374</f>
        <v>0</v>
      </c>
      <c r="M1468" s="1933">
        <f>'Part VIII-Threshold Criteria'!M374</f>
        <v>0</v>
      </c>
      <c r="N1468" s="478" t="s">
        <v>3949</v>
      </c>
      <c r="O1468" s="478"/>
      <c r="P1468" s="1933">
        <f>'Part VIII-Threshold Criteria'!P374</f>
        <v>0</v>
      </c>
      <c r="Q1468" s="1933">
        <f>'Part VIII-Threshold Criteria'!Q374</f>
        <v>0</v>
      </c>
    </row>
    <row r="1469" spans="1:17">
      <c r="A1469" s="1629"/>
      <c r="B1469" s="478" t="s">
        <v>1751</v>
      </c>
      <c r="C1469" s="478" t="s">
        <v>3951</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3952</v>
      </c>
      <c r="D1470" s="1828"/>
      <c r="E1470" s="1901"/>
      <c r="F1470" s="1978" t="str">
        <f>'Part VIII-Threshold Criteria'!F376</f>
        <v>Urban</v>
      </c>
      <c r="G1470" s="1978">
        <f>'Part VIII-Threshold Criteria'!G376</f>
        <v>0</v>
      </c>
      <c r="H1470" s="1866" t="s">
        <v>3953</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2381</v>
      </c>
      <c r="C1471" s="478" t="s">
        <v>3954</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3964</v>
      </c>
      <c r="O1471" s="1977"/>
      <c r="P1471" s="1942">
        <f>'Part VIII-Threshold Criteria'!P377</f>
        <v>0</v>
      </c>
      <c r="Q1471" s="1942">
        <f>'Part VIII-Threshold Criteria'!Q377</f>
        <v>0</v>
      </c>
    </row>
    <row r="1472" spans="1:17">
      <c r="A1472" s="1975"/>
      <c r="B1472" s="478" t="s">
        <v>1561</v>
      </c>
      <c r="C1472" s="478" t="s">
        <v>3955</v>
      </c>
      <c r="D1472" s="1629"/>
      <c r="E1472" s="478"/>
      <c r="F1472" s="2013">
        <f>'Part VIII-Threshold Criteria'!F378</f>
        <v>940000</v>
      </c>
      <c r="G1472" s="2013">
        <f>'Part VIII-Threshold Criteria'!G378</f>
        <v>0</v>
      </c>
      <c r="H1472" s="478" t="s">
        <v>3956</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3958</v>
      </c>
      <c r="D1473" s="1629"/>
      <c r="E1473" s="478"/>
      <c r="F1473" s="478"/>
      <c r="G1473" s="478"/>
      <c r="H1473" s="478" t="s">
        <v>3618</v>
      </c>
      <c r="I1473" s="478"/>
      <c r="J1473" s="2013">
        <f>'Part VIII-Threshold Criteria'!J379</f>
        <v>0</v>
      </c>
      <c r="K1473" s="2013">
        <f>'Part VIII-Threshold Criteria'!K379</f>
        <v>0</v>
      </c>
      <c r="L1473" s="478" t="s">
        <v>3959</v>
      </c>
      <c r="M1473" s="2013">
        <f>'Part VIII-Threshold Criteria'!M379</f>
        <v>0</v>
      </c>
      <c r="N1473" s="2013">
        <f>'Part VIII-Threshold Criteria'!N379</f>
        <v>0</v>
      </c>
      <c r="O1473" s="1629"/>
      <c r="P1473" s="1629"/>
      <c r="Q1473" s="1629"/>
    </row>
    <row r="1474" spans="1:17">
      <c r="A1474" s="1629"/>
      <c r="B1474" s="478" t="s">
        <v>99</v>
      </c>
      <c r="C1474" s="478" t="s">
        <v>3960</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2001</v>
      </c>
      <c r="B1476" s="1933" t="s">
        <v>3961</v>
      </c>
      <c r="C1476" s="1629"/>
      <c r="D1476" s="1901"/>
      <c r="E1476" s="1901"/>
      <c r="F1476" s="1901"/>
      <c r="G1476" s="1901"/>
      <c r="H1476" s="1901"/>
      <c r="I1476" s="1629"/>
      <c r="J1476" s="478" t="s">
        <v>3966</v>
      </c>
      <c r="K1476" s="478"/>
      <c r="L1476" s="478"/>
      <c r="M1476" s="478"/>
      <c r="N1476" s="1901" t="s">
        <v>3963</v>
      </c>
      <c r="O1476" s="1901"/>
      <c r="P1476" s="1901"/>
      <c r="Q1476" s="1901"/>
    </row>
    <row r="1477" spans="1:17">
      <c r="A1477" s="1629"/>
      <c r="B1477" s="478" t="s">
        <v>1750</v>
      </c>
      <c r="C1477" s="1872" t="s">
        <v>3962</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3965</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3967</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3779</v>
      </c>
      <c r="D1480" s="1873"/>
      <c r="E1480" s="1873"/>
      <c r="F1480" s="1873"/>
      <c r="G1480" s="1873"/>
      <c r="H1480" s="1872"/>
      <c r="I1480" s="1934"/>
      <c r="J1480" s="1934"/>
      <c r="K1480" s="1934"/>
      <c r="L1480" s="1836"/>
      <c r="M1480" s="1836"/>
      <c r="N1480" s="1836"/>
      <c r="O1480" s="1836"/>
      <c r="P1480" s="1836"/>
      <c r="Q1480" s="1836"/>
    </row>
    <row r="1481" spans="1:17">
      <c r="A1481" s="1936">
        <f>'Part VIII-Threshold Criteria'!A387</f>
        <v>0</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1880</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4159</v>
      </c>
      <c r="B1486" s="1818" t="s">
        <v>2701</v>
      </c>
      <c r="C1486" s="1818"/>
      <c r="D1486" s="1818"/>
      <c r="E1486" s="1818"/>
      <c r="F1486" s="1818"/>
      <c r="G1486" s="1818"/>
      <c r="H1486" s="1939"/>
      <c r="I1486" s="1939"/>
      <c r="J1486" s="1939"/>
      <c r="O1486" s="1935" t="s">
        <v>1881</v>
      </c>
      <c r="P1486" s="1844">
        <f>'Part VIII-Threshold Criteria'!P392</f>
        <v>0</v>
      </c>
      <c r="Q1486" s="1844">
        <f>'Part VIII-Threshold Criteria'!Q392</f>
        <v>0</v>
      </c>
    </row>
    <row r="1487" spans="1:17">
      <c r="A1487" s="1975" t="s">
        <v>1999</v>
      </c>
      <c r="B1487" s="478" t="s">
        <v>1044</v>
      </c>
      <c r="E1487" s="1933" t="str">
        <f>'Part VIII-Threshold Criteria'!E393</f>
        <v>Quest Community Development Organization, Inc</v>
      </c>
      <c r="F1487" s="1933">
        <f>'Part VIII-Threshold Criteria'!F393</f>
        <v>0</v>
      </c>
      <c r="G1487" s="1933">
        <f>'Part VIII-Threshold Criteria'!G393</f>
        <v>0</v>
      </c>
      <c r="H1487" s="1933">
        <f>'Part VIII-Threshold Criteria'!H393</f>
        <v>0</v>
      </c>
      <c r="I1487" s="1933">
        <f>'Part VIII-Threshold Criteria'!I393</f>
        <v>0</v>
      </c>
      <c r="J1487" s="478" t="s">
        <v>2688</v>
      </c>
      <c r="K1487" s="478"/>
      <c r="L1487" s="478"/>
      <c r="M1487" s="1933" t="str">
        <f>'Part VIII-Threshold Criteria'!M393</f>
        <v>Heritage Village West Lake Partners, LLC</v>
      </c>
      <c r="N1487" s="1933">
        <f>'Part VIII-Threshold Criteria'!N393</f>
        <v>0</v>
      </c>
      <c r="O1487" s="1933">
        <f>'Part VIII-Threshold Criteria'!O393</f>
        <v>0</v>
      </c>
      <c r="P1487" s="1933">
        <f>'Part VIII-Threshold Criteria'!P393</f>
        <v>0</v>
      </c>
      <c r="Q1487" s="1933">
        <f>'Part VIII-Threshold Criteria'!Q393</f>
        <v>0</v>
      </c>
    </row>
    <row r="1488" spans="1:17">
      <c r="A1488" s="1975" t="s">
        <v>2001</v>
      </c>
      <c r="B1488" s="478" t="s">
        <v>3487</v>
      </c>
      <c r="D1488" s="478"/>
      <c r="E1488" s="478"/>
      <c r="F1488" s="478"/>
      <c r="G1488" s="478"/>
      <c r="H1488" s="478"/>
      <c r="I1488" s="478"/>
      <c r="J1488" s="478"/>
      <c r="K1488" s="478"/>
      <c r="L1488" s="1872"/>
      <c r="M1488" s="1872"/>
      <c r="O1488" s="1977" t="s">
        <v>2001</v>
      </c>
      <c r="P1488" s="1942" t="str">
        <f>'Part VIII-Threshold Criteria'!P394</f>
        <v>Yes</v>
      </c>
      <c r="Q1488" s="1942">
        <f>'Part VIII-Threshold Criteria'!Q394</f>
        <v>0</v>
      </c>
    </row>
    <row r="1489" spans="1:17" ht="12.75" customHeight="1">
      <c r="A1489" s="1973" t="s">
        <v>757</v>
      </c>
      <c r="B1489" s="1936" t="s">
        <v>3497</v>
      </c>
      <c r="C1489" s="1936"/>
      <c r="D1489" s="1936"/>
      <c r="E1489" s="1936"/>
      <c r="F1489" s="1936"/>
      <c r="G1489" s="1936"/>
      <c r="H1489" s="1936"/>
      <c r="I1489" s="1936"/>
      <c r="J1489" s="1936"/>
      <c r="K1489" s="1936"/>
      <c r="L1489" s="1936"/>
      <c r="M1489" s="1936"/>
      <c r="N1489" s="1936"/>
      <c r="O1489" s="1987" t="s">
        <v>757</v>
      </c>
      <c r="P1489" s="1988" t="str">
        <f>'Part VIII-Threshold Criteria'!P395</f>
        <v>Yes</v>
      </c>
      <c r="Q1489" s="1988">
        <f>'Part VIII-Threshold Criteria'!Q395</f>
        <v>0</v>
      </c>
    </row>
    <row r="1490" spans="1:17">
      <c r="A1490" s="1975" t="s">
        <v>2131</v>
      </c>
      <c r="B1490" s="1156" t="s">
        <v>3725</v>
      </c>
      <c r="G1490" s="1866"/>
      <c r="H1490" s="1866"/>
      <c r="I1490" s="1866"/>
      <c r="J1490" s="1872" t="s">
        <v>3726</v>
      </c>
      <c r="L1490" s="1866"/>
      <c r="M1490" s="2016">
        <f>'Part III-Sources of Funds'!E1105</f>
        <v>0</v>
      </c>
      <c r="N1490" s="2016"/>
      <c r="O1490" s="1977" t="s">
        <v>2131</v>
      </c>
      <c r="P1490" s="1942" t="str">
        <f>'Part VIII-Threshold Criteria'!P396</f>
        <v>Yes</v>
      </c>
      <c r="Q1490" s="1942">
        <f>'Part VIII-Threshold Criteria'!Q396</f>
        <v>0</v>
      </c>
    </row>
    <row r="1491" spans="1:17">
      <c r="B1491" s="1873" t="s">
        <v>3779</v>
      </c>
      <c r="D1491" s="1873"/>
      <c r="E1491" s="1873"/>
      <c r="F1491" s="1873"/>
      <c r="G1491" s="1873"/>
      <c r="H1491" s="1872"/>
      <c r="I1491" s="1934"/>
      <c r="J1491" s="1934"/>
      <c r="K1491" s="1934"/>
      <c r="L1491" s="1836"/>
      <c r="M1491" s="1836"/>
      <c r="N1491" s="1836"/>
      <c r="O1491" s="1836"/>
      <c r="P1491" s="1836"/>
      <c r="Q1491" s="1836"/>
    </row>
    <row r="1492" spans="1:17" ht="56.25">
      <c r="A1492" s="1936" t="str">
        <f>'Part VIII-Threshold Criteria'!A398</f>
        <v>All CHDO documentation is included in Tab 23</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1880</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4160</v>
      </c>
      <c r="B1496" s="1818" t="s">
        <v>2685</v>
      </c>
      <c r="C1496" s="1818"/>
      <c r="D1496" s="1818"/>
      <c r="E1496" s="1939"/>
      <c r="G1496" s="1961" t="s">
        <v>708</v>
      </c>
      <c r="H1496" s="1939"/>
      <c r="I1496" s="1939"/>
      <c r="J1496" s="1939"/>
      <c r="K1496" s="1939"/>
      <c r="L1496" s="1939"/>
      <c r="M1496" s="1939"/>
      <c r="O1496" s="1935" t="s">
        <v>1881</v>
      </c>
      <c r="P1496" s="1844">
        <f>'Part VIII-Threshold Criteria'!P402</f>
        <v>0</v>
      </c>
      <c r="Q1496" s="1844">
        <f>'Part VIII-Threshold Criteria'!Q402</f>
        <v>0</v>
      </c>
    </row>
    <row r="1497" spans="1:17">
      <c r="A1497" s="1975" t="s">
        <v>1999</v>
      </c>
      <c r="B1497" s="478" t="s">
        <v>2690</v>
      </c>
      <c r="D1497" s="1936"/>
      <c r="E1497" s="1936"/>
      <c r="H1497" s="1961"/>
      <c r="O1497" s="1977" t="s">
        <v>1999</v>
      </c>
      <c r="P1497" s="1942" t="str">
        <f>'Part VIII-Threshold Criteria'!P403</f>
        <v>No</v>
      </c>
      <c r="Q1497" s="1942">
        <f>'Part VIII-Threshold Criteria'!Q403</f>
        <v>0</v>
      </c>
    </row>
    <row r="1498" spans="1:17">
      <c r="A1498" s="1975" t="s">
        <v>2001</v>
      </c>
      <c r="B1498" s="478" t="s">
        <v>3608</v>
      </c>
      <c r="D1498" s="1936"/>
      <c r="E1498" s="1936"/>
      <c r="O1498" s="1977" t="s">
        <v>2001</v>
      </c>
      <c r="P1498" s="1942" t="str">
        <f>'Part VIII-Threshold Criteria'!P404</f>
        <v>No</v>
      </c>
      <c r="Q1498" s="1942">
        <f>'Part VIII-Threshold Criteria'!Q404</f>
        <v>0</v>
      </c>
    </row>
    <row r="1499" spans="1:17">
      <c r="A1499" s="1975" t="s">
        <v>757</v>
      </c>
      <c r="B1499" s="478" t="s">
        <v>4123</v>
      </c>
      <c r="D1499" s="1936"/>
      <c r="E1499" s="1936"/>
      <c r="O1499" s="1977" t="s">
        <v>757</v>
      </c>
      <c r="P1499" s="1942" t="str">
        <f>'Part VIII-Threshold Criteria'!P405</f>
        <v>No</v>
      </c>
      <c r="Q1499" s="1942">
        <f>'Part VIII-Threshold Criteria'!Q405</f>
        <v>0</v>
      </c>
    </row>
    <row r="1500" spans="1:17">
      <c r="A1500" s="1975" t="s">
        <v>2131</v>
      </c>
      <c r="B1500" s="478" t="s">
        <v>3609</v>
      </c>
      <c r="E1500" s="1961"/>
      <c r="O1500" s="1977" t="s">
        <v>2131</v>
      </c>
      <c r="P1500" s="1942" t="str">
        <f>'Part VIII-Threshold Criteria'!P406</f>
        <v>No</v>
      </c>
      <c r="Q1500" s="1942">
        <f>'Part VIII-Threshold Criteria'!Q406</f>
        <v>0</v>
      </c>
    </row>
    <row r="1501" spans="1:17">
      <c r="A1501" s="1975" t="s">
        <v>1748</v>
      </c>
      <c r="B1501" s="478" t="s">
        <v>2095</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3779</v>
      </c>
      <c r="D1502" s="1873"/>
      <c r="E1502" s="1873"/>
      <c r="F1502" s="1873"/>
      <c r="G1502" s="1873"/>
      <c r="H1502" s="1872"/>
      <c r="I1502" s="1934"/>
      <c r="J1502" s="1934"/>
      <c r="K1502" s="1934"/>
      <c r="L1502" s="1836"/>
      <c r="M1502" s="1836"/>
      <c r="N1502" s="1836"/>
      <c r="O1502" s="1836"/>
      <c r="P1502" s="1836"/>
      <c r="Q1502" s="1836"/>
    </row>
    <row r="1503" spans="1:17">
      <c r="A1503" s="1936">
        <f>'Part VIII-Threshold Criteria'!A409</f>
        <v>0</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1880</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4161</v>
      </c>
      <c r="B1507" s="1818" t="s">
        <v>2686</v>
      </c>
      <c r="C1507" s="1818"/>
      <c r="D1507" s="1818"/>
      <c r="E1507" s="1818"/>
      <c r="F1507" s="1818"/>
      <c r="G1507" s="1818"/>
      <c r="H1507" s="1939"/>
      <c r="I1507" s="1939"/>
      <c r="J1507" s="1939"/>
      <c r="K1507" s="1939"/>
      <c r="L1507" s="1939"/>
      <c r="M1507" s="1939"/>
      <c r="O1507" s="1935" t="s">
        <v>1881</v>
      </c>
      <c r="P1507" s="1844">
        <f>'Part VIII-Threshold Criteria'!P413</f>
        <v>0</v>
      </c>
      <c r="Q1507" s="1844">
        <f>'Part VIII-Threshold Criteria'!Q413</f>
        <v>0</v>
      </c>
    </row>
    <row r="1508" spans="1:17">
      <c r="A1508" s="1975" t="s">
        <v>1999</v>
      </c>
      <c r="B1508" s="478" t="s">
        <v>760</v>
      </c>
      <c r="D1508" s="1629"/>
      <c r="E1508" s="1629"/>
      <c r="F1508" s="1629"/>
      <c r="G1508" s="1629"/>
      <c r="H1508" s="1629"/>
      <c r="I1508" s="1629"/>
      <c r="J1508" s="1629"/>
      <c r="K1508" s="1629"/>
      <c r="L1508" s="1629"/>
      <c r="M1508" s="1629"/>
      <c r="N1508" s="1629"/>
      <c r="O1508" s="1977" t="s">
        <v>1999</v>
      </c>
      <c r="P1508" s="1942" t="str">
        <f>'Part VIII-Threshold Criteria'!P414</f>
        <v>No</v>
      </c>
      <c r="Q1508" s="1942">
        <f>'Part VIII-Threshold Criteria'!Q414</f>
        <v>0</v>
      </c>
    </row>
    <row r="1509" spans="1:17">
      <c r="A1509" s="1975" t="s">
        <v>2001</v>
      </c>
      <c r="B1509" s="478" t="s">
        <v>3499</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3498</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3595</v>
      </c>
      <c r="C1512" s="478" t="s">
        <v>3596</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2217</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2131</v>
      </c>
      <c r="B1514" s="1872" t="s">
        <v>2833</v>
      </c>
      <c r="C1514" s="1872"/>
      <c r="E1514" s="1872"/>
      <c r="F1514" s="1872"/>
      <c r="G1514" s="1872"/>
      <c r="H1514" s="1872"/>
      <c r="I1514" s="1872"/>
      <c r="J1514" s="1872"/>
      <c r="K1514" s="1872"/>
      <c r="L1514" s="1872"/>
      <c r="M1514" s="1872"/>
      <c r="N1514" s="1629"/>
      <c r="O1514" s="1977"/>
      <c r="P1514" s="1629"/>
      <c r="Q1514" s="1629"/>
    </row>
    <row r="1515" spans="1:17">
      <c r="A1515" s="1975"/>
      <c r="B1515" s="478" t="s">
        <v>2218</v>
      </c>
      <c r="C1515" s="478"/>
      <c r="E1515" s="1629"/>
      <c r="F1515" s="1872"/>
      <c r="G1515" s="1836">
        <f>'Part VIII-Threshold Criteria'!G421</f>
        <v>0</v>
      </c>
      <c r="H1515" s="1831">
        <f>'Part VIII-Threshold Criteria'!H421</f>
        <v>0</v>
      </c>
      <c r="J1515" s="478" t="s">
        <v>2221</v>
      </c>
      <c r="K1515" s="1872"/>
      <c r="N1515" s="1836">
        <f>'Part VIII-Threshold Criteria'!N421</f>
        <v>0</v>
      </c>
      <c r="O1515" s="1831">
        <f>'Part VIII-Threshold Criteria'!O421</f>
        <v>0</v>
      </c>
    </row>
    <row r="1516" spans="1:17">
      <c r="A1516" s="1975"/>
      <c r="B1516" s="478" t="s">
        <v>2219</v>
      </c>
      <c r="C1516" s="478"/>
      <c r="E1516" s="1629"/>
      <c r="F1516" s="1872"/>
      <c r="G1516" s="1836">
        <f>'Part VIII-Threshold Criteria'!G422</f>
        <v>0</v>
      </c>
      <c r="H1516" s="1831">
        <f>'Part VIII-Threshold Criteria'!H422</f>
        <v>0</v>
      </c>
      <c r="J1516" s="478" t="s">
        <v>2222</v>
      </c>
      <c r="K1516" s="1872"/>
      <c r="N1516" s="1836">
        <f>'Part VIII-Threshold Criteria'!N422</f>
        <v>0</v>
      </c>
      <c r="O1516" s="1831">
        <f>'Part VIII-Threshold Criteria'!O422</f>
        <v>0</v>
      </c>
    </row>
    <row r="1517" spans="1:17">
      <c r="A1517" s="1975"/>
      <c r="B1517" s="478" t="s">
        <v>2220</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2401</v>
      </c>
      <c r="C1518" s="1872"/>
      <c r="E1518" s="1872"/>
      <c r="F1518" s="1872"/>
      <c r="G1518" s="1872"/>
      <c r="J1518" s="1629"/>
      <c r="K1518" s="1872"/>
      <c r="L1518" s="1872"/>
      <c r="M1518" s="1872"/>
      <c r="N1518" s="1629"/>
      <c r="O1518" s="1977"/>
      <c r="P1518" s="1977"/>
      <c r="Q1518" s="1977"/>
    </row>
    <row r="1519" spans="1:17">
      <c r="A1519" s="1629"/>
      <c r="B1519" s="1156" t="s">
        <v>2223</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2269</v>
      </c>
      <c r="N1520" s="1894">
        <f>'Part VIII-Threshold Criteria'!N426</f>
        <v>0</v>
      </c>
      <c r="O1520" s="1894">
        <f>'Part VIII-Threshold Criteria'!O426</f>
        <v>0</v>
      </c>
      <c r="P1520" s="1894">
        <f>'Part VIII-Threshold Criteria'!P426</f>
        <v>0</v>
      </c>
      <c r="Q1520" s="1894">
        <f>'Part VIII-Threshold Criteria'!Q426</f>
        <v>0</v>
      </c>
    </row>
    <row r="1521" spans="1:17">
      <c r="B1521" s="1873" t="s">
        <v>3779</v>
      </c>
      <c r="D1521" s="1873"/>
      <c r="E1521" s="1873"/>
      <c r="F1521" s="1873"/>
      <c r="G1521" s="1873"/>
      <c r="H1521" s="1872"/>
      <c r="I1521" s="1934"/>
      <c r="J1521" s="1934"/>
      <c r="K1521" s="1934"/>
      <c r="P1521" s="1836"/>
      <c r="Q1521" s="1836"/>
    </row>
    <row r="1522" spans="1:17">
      <c r="A1522" s="1936">
        <f>'Part VIII-Threshold Criteria'!A428</f>
        <v>0</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1880</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4162</v>
      </c>
      <c r="B1526" s="1818" t="s">
        <v>2834</v>
      </c>
      <c r="C1526" s="1818"/>
      <c r="D1526" s="1933"/>
      <c r="E1526" s="1939"/>
      <c r="F1526" s="1939"/>
      <c r="G1526" s="1939"/>
      <c r="H1526" s="1939"/>
      <c r="O1526" s="1935" t="s">
        <v>1881</v>
      </c>
      <c r="P1526" s="1844">
        <f>'Part VIII-Threshold Criteria'!P432</f>
        <v>0</v>
      </c>
      <c r="Q1526" s="1844">
        <f>'Part VIII-Threshold Criteria'!Q432</f>
        <v>0</v>
      </c>
    </row>
    <row r="1527" spans="1:17">
      <c r="B1527" s="1933" t="s">
        <v>3968</v>
      </c>
      <c r="C1527" s="1818"/>
      <c r="D1527" s="1933"/>
      <c r="E1527" s="1939"/>
      <c r="F1527" s="1939"/>
      <c r="G1527" s="1939"/>
      <c r="H1527" s="1939"/>
    </row>
    <row r="1528" spans="1:17" ht="12.75" customHeight="1">
      <c r="A1528" s="1973" t="s">
        <v>1999</v>
      </c>
      <c r="B1528" s="1936" t="s">
        <v>3971</v>
      </c>
      <c r="C1528" s="1936"/>
      <c r="D1528" s="1936"/>
      <c r="E1528" s="1936"/>
      <c r="F1528" s="1936"/>
      <c r="G1528" s="1936"/>
      <c r="H1528" s="1936"/>
      <c r="I1528" s="1936"/>
      <c r="J1528" s="1936"/>
      <c r="K1528" s="1936"/>
      <c r="L1528" s="1936"/>
      <c r="M1528" s="1936"/>
      <c r="N1528" s="1936"/>
      <c r="O1528" s="1987" t="s">
        <v>1999</v>
      </c>
      <c r="P1528" s="1988" t="str">
        <f>'Part VIII-Threshold Criteria'!P434</f>
        <v>Agree</v>
      </c>
      <c r="Q1528" s="1988">
        <f>'Part VIII-Threshold Criteria'!Q434</f>
        <v>0</v>
      </c>
    </row>
    <row r="1529" spans="1:17" ht="12.75" customHeight="1">
      <c r="A1529" s="1973" t="s">
        <v>2001</v>
      </c>
      <c r="B1529" s="1936" t="s">
        <v>3969</v>
      </c>
      <c r="C1529" s="1936"/>
      <c r="D1529" s="1936"/>
      <c r="E1529" s="1936"/>
      <c r="F1529" s="1936"/>
      <c r="G1529" s="1936"/>
      <c r="H1529" s="1936"/>
      <c r="I1529" s="1936"/>
      <c r="J1529" s="1936"/>
      <c r="K1529" s="1936"/>
      <c r="L1529" s="1936"/>
      <c r="M1529" s="1936"/>
      <c r="N1529" s="1936"/>
      <c r="O1529" s="1987" t="s">
        <v>2001</v>
      </c>
      <c r="P1529" s="1988" t="str">
        <f>'Part VIII-Threshold Criteria'!P435</f>
        <v>Agree</v>
      </c>
      <c r="Q1529" s="1988">
        <f>'Part VIII-Threshold Criteria'!Q435</f>
        <v>0</v>
      </c>
    </row>
    <row r="1530" spans="1:17" ht="12.75" customHeight="1">
      <c r="A1530" s="1953"/>
      <c r="B1530" s="1936" t="s">
        <v>3970</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3972</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3973</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3974</v>
      </c>
      <c r="C1533" s="1936"/>
      <c r="D1533" s="1936"/>
      <c r="E1533" s="1936"/>
      <c r="F1533" s="1936"/>
      <c r="G1533" s="1936"/>
      <c r="H1533" s="1936"/>
      <c r="I1533" s="1936"/>
      <c r="J1533" s="1936"/>
      <c r="K1533" s="1936"/>
      <c r="L1533" s="1936"/>
      <c r="M1533" s="1936"/>
      <c r="N1533" s="1936"/>
      <c r="O1533" s="1987" t="s">
        <v>2381</v>
      </c>
      <c r="P1533" s="1988" t="str">
        <f>'Part VIII-Threshold Criteria'!P439</f>
        <v>Agree</v>
      </c>
      <c r="Q1533" s="1988">
        <f>'Part VIII-Threshold Criteria'!Q439</f>
        <v>0</v>
      </c>
    </row>
    <row r="1534" spans="1:17" ht="12.75" customHeight="1">
      <c r="A1534" s="1973" t="s">
        <v>757</v>
      </c>
      <c r="B1534" s="1936" t="s">
        <v>3975</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2131</v>
      </c>
      <c r="B1535" s="1936" t="s">
        <v>3976</v>
      </c>
      <c r="C1535" s="1936"/>
      <c r="D1535" s="1936"/>
      <c r="E1535" s="1936"/>
      <c r="F1535" s="1936"/>
      <c r="G1535" s="1936"/>
      <c r="H1535" s="1936"/>
      <c r="I1535" s="1936"/>
      <c r="J1535" s="1936"/>
      <c r="K1535" s="1936"/>
      <c r="L1535" s="1936"/>
      <c r="M1535" s="1936"/>
      <c r="N1535" s="1936"/>
      <c r="O1535" s="1987" t="s">
        <v>2131</v>
      </c>
      <c r="P1535" s="1988" t="str">
        <f>'Part VIII-Threshold Criteria'!P441</f>
        <v>Agree</v>
      </c>
      <c r="Q1535" s="1988">
        <f>'Part VIII-Threshold Criteria'!Q441</f>
        <v>0</v>
      </c>
    </row>
    <row r="1536" spans="1:17" ht="12.75" customHeight="1">
      <c r="A1536" s="1973" t="s">
        <v>1748</v>
      </c>
      <c r="B1536" s="1936" t="s">
        <v>3977</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3500</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3779</v>
      </c>
      <c r="D1538" s="1873"/>
      <c r="E1538" s="1873"/>
      <c r="F1538" s="1873"/>
      <c r="G1538" s="1873"/>
      <c r="H1538" s="1872"/>
      <c r="I1538" s="1934"/>
      <c r="J1538" s="1934"/>
      <c r="K1538" s="1934"/>
      <c r="L1538" s="1836"/>
      <c r="M1538" s="1836"/>
      <c r="N1538" s="1836"/>
      <c r="O1538" s="1836"/>
      <c r="P1538" s="1836"/>
      <c r="Q1538" s="1836"/>
    </row>
    <row r="1539" spans="1:17" ht="45">
      <c r="A1539" s="1936" t="str">
        <f>'Part VIII-Threshold Criteria'!A445</f>
        <v>We agree to all requirements of AFFH</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1880</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4163</v>
      </c>
      <c r="B1543" s="1818" t="s">
        <v>2687</v>
      </c>
      <c r="C1543" s="1818"/>
      <c r="D1543" s="1933"/>
      <c r="E1543" s="1939"/>
      <c r="F1543" s="1939"/>
      <c r="G1543" s="1939"/>
      <c r="H1543" s="1939"/>
      <c r="I1543" s="1939"/>
      <c r="J1543" s="1939"/>
      <c r="K1543" s="1939"/>
      <c r="L1543" s="1939"/>
      <c r="M1543" s="1939"/>
      <c r="O1543" s="1935" t="s">
        <v>1881</v>
      </c>
      <c r="P1543" s="1844">
        <f>'Part VIII-Threshold Criteria'!P449</f>
        <v>0</v>
      </c>
      <c r="Q1543" s="1844">
        <f>'Part VIII-Threshold Criteria'!Q449</f>
        <v>0</v>
      </c>
    </row>
    <row r="1544" spans="1:17">
      <c r="A1544" s="1819"/>
      <c r="B1544" s="1873" t="s">
        <v>3779</v>
      </c>
      <c r="D1544" s="1873"/>
      <c r="E1544" s="1873"/>
      <c r="F1544" s="1873"/>
      <c r="G1544" s="1873"/>
      <c r="H1544" s="1872"/>
      <c r="I1544" s="1934"/>
      <c r="J1544" s="1934"/>
      <c r="K1544" s="1934"/>
      <c r="L1544" s="1836"/>
      <c r="M1544" s="1836"/>
      <c r="N1544" s="1836"/>
      <c r="O1544" s="1836"/>
      <c r="P1544" s="1836"/>
      <c r="Q1544" s="1836"/>
    </row>
    <row r="1545" spans="1:17" ht="180">
      <c r="A1545" s="1936" t="str">
        <f>'Part VIII-Threshold Criteria'!A451</f>
        <v xml:space="preserve">This is an adaptive reuse rehabilitation of a 150 dorm building into 123 unit apartment complex. All existing infrastructure will be used in the extent possible. </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1880</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2018-017 Heritage Village at West Lake,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4780</v>
      </c>
      <c r="B1557" s="1861"/>
      <c r="C1557" s="1861"/>
      <c r="D1557" s="1861"/>
      <c r="E1557" s="1861"/>
      <c r="F1557" s="1861"/>
      <c r="G1557" s="1861"/>
      <c r="H1557" s="1861"/>
      <c r="I1557" s="1861"/>
      <c r="J1557" s="1861"/>
      <c r="K1557" s="1861"/>
      <c r="L1557" s="1861"/>
      <c r="M1557" s="1842" t="s">
        <v>2235</v>
      </c>
      <c r="N1557" s="1828"/>
      <c r="O1557" s="1837" t="s">
        <v>2234</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2235</v>
      </c>
      <c r="P1558" s="1837" t="s">
        <v>2235</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52</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2802</v>
      </c>
      <c r="C1562" s="1818"/>
      <c r="D1562" s="1818"/>
      <c r="E1562" s="1818"/>
      <c r="F1562" s="1934"/>
      <c r="G1562" s="1629"/>
      <c r="H1562" s="1900" t="s">
        <v>4781</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1999</v>
      </c>
      <c r="B1564" s="1844" t="s">
        <v>1882</v>
      </c>
      <c r="C1564" s="1629"/>
      <c r="D1564" s="1830"/>
      <c r="E1564" s="1830"/>
      <c r="F1564" s="1934"/>
      <c r="G1564" s="1629"/>
      <c r="H1564" s="1631" t="s">
        <v>3674</v>
      </c>
      <c r="I1564" s="1629"/>
      <c r="J1564" s="1629"/>
      <c r="K1564" s="1629"/>
      <c r="L1564" s="1629"/>
      <c r="M1564" s="1828"/>
      <c r="N1564" s="1977" t="s">
        <v>1999</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2129</v>
      </c>
      <c r="D1565" s="1830"/>
      <c r="E1565" s="1830"/>
      <c r="F1565" s="1934"/>
      <c r="G1565" s="2022"/>
      <c r="H1565" s="1631" t="s">
        <v>2783</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2001</v>
      </c>
      <c r="B1566" s="1844" t="s">
        <v>734</v>
      </c>
      <c r="C1566" s="1629"/>
      <c r="D1566" s="1830"/>
      <c r="E1566" s="1830"/>
      <c r="F1566" s="1934"/>
      <c r="G1566" s="1629"/>
      <c r="H1566" s="1631" t="s">
        <v>4782</v>
      </c>
      <c r="I1566" s="1629"/>
      <c r="J1566" s="1900"/>
      <c r="K1566" s="1629"/>
      <c r="L1566" s="1629"/>
      <c r="M1566" s="1828"/>
      <c r="N1566" s="1977" t="s">
        <v>2001</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4194</v>
      </c>
      <c r="D1567" s="478"/>
      <c r="E1567" s="478"/>
      <c r="F1567" s="478"/>
      <c r="G1567" s="1900"/>
      <c r="H1567" s="1631" t="s">
        <v>4782</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3872</v>
      </c>
      <c r="B1568" s="1861"/>
      <c r="C1568" s="1861"/>
      <c r="D1568" s="1861"/>
      <c r="E1568" s="1861"/>
      <c r="F1568" s="1934" t="s">
        <v>4197</v>
      </c>
      <c r="G1568" s="1629"/>
      <c r="H1568" s="1629"/>
      <c r="I1568" s="1629"/>
      <c r="J1568" s="1934" t="s">
        <v>4197</v>
      </c>
      <c r="K1568" s="1934"/>
      <c r="L1568" s="1629"/>
      <c r="M1568" s="1629"/>
      <c r="N1568" s="1629"/>
      <c r="O1568" s="478" t="s">
        <v>4197</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3610</v>
      </c>
      <c r="H1569" s="1978"/>
      <c r="I1569" s="1978"/>
      <c r="J1569" s="1837">
        <f>SUM(J1570:J1581)</f>
        <v>0</v>
      </c>
      <c r="K1569" s="1933" t="s">
        <v>3394</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2925</v>
      </c>
      <c r="K1572" s="1707">
        <f>'Part IX A-Scoring Criteria'!K18</f>
        <v>3</v>
      </c>
      <c r="L1572" s="1707">
        <f>'Part IX A-Scoring Criteria'!L18</f>
        <v>0</v>
      </c>
      <c r="M1572" s="1707">
        <f>'Part IX A-Scoring Criteria'!M18</f>
        <v>0</v>
      </c>
      <c r="N1572" s="1707">
        <f>'Part IX A-Scoring Criteria'!N18</f>
        <v>0</v>
      </c>
      <c r="O1572" s="2011" t="s">
        <v>2925</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2925</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3611</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3612</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3613</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3614</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4783</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4198</v>
      </c>
      <c r="B1583" s="478" t="s">
        <v>4199</v>
      </c>
      <c r="C1583" s="478"/>
      <c r="D1583" s="478"/>
      <c r="E1583" s="1748" t="s">
        <v>4227</v>
      </c>
      <c r="F1583" s="478" t="s">
        <v>4226</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288">
      <c r="A1584" s="2036" t="s">
        <v>750</v>
      </c>
      <c r="B1584" s="2037" t="s">
        <v>4200</v>
      </c>
      <c r="C1584" s="1707"/>
      <c r="D1584" s="1707"/>
      <c r="E1584" s="2038">
        <f>'Part IX A-Scoring Criteria'!E30</f>
        <v>10</v>
      </c>
      <c r="F1584" s="1941" t="str">
        <f>'Part IX A-Scoring Criteria'!F30</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4201</v>
      </c>
      <c r="C1585" s="1707"/>
      <c r="D1585" s="1707"/>
      <c r="E1585" s="2038">
        <f>'Part IX A-Scoring Criteria'!E31</f>
        <v>3</v>
      </c>
      <c r="F1585" s="1941" t="str">
        <f>'Part IX A-Scoring Criteria'!F31</f>
        <v>We have elected to participate in the Enterprise Foundation Green Communities certification. We have included the Scoring spreadsheet showing we are entitled to 58 points under Enterprise's program.  Since the program minimum is 30, we would have to score at least 40 points to qualify for 3 pts. under this section. A score of 58 is 18 points over the necessary threshold.   We have also submitted the DCA Green Building attendance certificate from 2017 for Betty Gomez, construction manager for New Columbia Residential.</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Some Applicant Scoring Justification boxes are empty! Check to see if points claimed.</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4202</v>
      </c>
      <c r="C1586" s="1707"/>
      <c r="D1586" s="1707"/>
      <c r="E1586" s="2038">
        <f>'Part IX A-Scoring Criteria'!E32</f>
        <v>0</v>
      </c>
      <c r="F1586" s="1941">
        <f>'Part IX A-Scoring Criteria'!F32</f>
        <v>0</v>
      </c>
      <c r="G1586" s="1941"/>
      <c r="H1586" s="1941"/>
      <c r="I1586" s="1941"/>
      <c r="J1586" s="1941"/>
      <c r="K1586" s="1941"/>
      <c r="L1586" s="1941"/>
      <c r="M1586" s="1941"/>
      <c r="N1586" s="1941"/>
      <c r="O1586" s="1978" t="s">
        <v>2925</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4203</v>
      </c>
      <c r="C1587" s="1707"/>
      <c r="D1587" s="1707"/>
      <c r="E1587" s="2038">
        <f>'Part IX A-Scoring Criteria'!E33</f>
        <v>0</v>
      </c>
      <c r="F1587" s="1941">
        <f>'Part IX A-Scoring Criteria'!F33</f>
        <v>0</v>
      </c>
      <c r="G1587" s="1941"/>
      <c r="H1587" s="1941"/>
      <c r="I1587" s="1941"/>
      <c r="J1587" s="1941"/>
      <c r="K1587" s="1941"/>
      <c r="L1587" s="1941"/>
      <c r="M1587" s="1941"/>
      <c r="N1587" s="1941"/>
      <c r="O1587" s="1978" t="s">
        <v>2925</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4204</v>
      </c>
      <c r="C1588" s="1707"/>
      <c r="D1588" s="1707"/>
      <c r="E1588" s="2039" t="str">
        <f>'Part IX A-Scoring Criteria'!E34</f>
        <v>n/a</v>
      </c>
      <c r="F1588" s="1941">
        <f>'Part IX A-Scoring Criteria'!F34</f>
        <v>0</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3818</v>
      </c>
      <c r="C1589" s="1707"/>
      <c r="D1589" s="1707"/>
      <c r="E1589" s="2038">
        <f>'Part IX A-Scoring Criteria'!E35</f>
        <v>0</v>
      </c>
      <c r="F1589" s="1941">
        <f>'Part IX A-Scoring Criteria'!F35</f>
        <v>0</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2267</v>
      </c>
      <c r="B1590" s="2037" t="s">
        <v>4205</v>
      </c>
      <c r="C1590" s="1707"/>
      <c r="D1590" s="1707"/>
      <c r="E1590" s="2039">
        <f>'Part IX A-Scoring Criteria'!E36</f>
        <v>0</v>
      </c>
      <c r="F1590" s="1941">
        <f>'Part IX A-Scoring Criteria'!F36</f>
        <v>0</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4515</v>
      </c>
      <c r="B1591" s="2037" t="s">
        <v>4516</v>
      </c>
      <c r="C1591" s="1707"/>
      <c r="D1591" s="1707"/>
      <c r="E1591" s="2039">
        <f>'Part IX A-Scoring Criteria'!E37</f>
        <v>3</v>
      </c>
      <c r="F1591" s="1941" t="str">
        <f>'Part IX A-Scoring Criteria'!F37</f>
        <v>No projects have been funded within a 1-mile radius in the last 6 DCA funding cycles, therefore, we qualify for 3 points. See Tab 44 - for previous project map</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4151</v>
      </c>
      <c r="B1592" s="2037" t="s">
        <v>4206</v>
      </c>
      <c r="C1592" s="1707"/>
      <c r="D1592" s="1707"/>
      <c r="E1592" s="2038">
        <f>'Part IX A-Scoring Criteria'!E38</f>
        <v>0</v>
      </c>
      <c r="F1592" s="1941">
        <f>'Part IX A-Scoring Criteria'!F38</f>
        <v>0</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4152</v>
      </c>
      <c r="B1593" s="2037" t="s">
        <v>4207</v>
      </c>
      <c r="C1593" s="1707"/>
      <c r="D1593" s="1707"/>
      <c r="E1593" s="2038">
        <f>'Part IX A-Scoring Criteria'!E39</f>
        <v>3</v>
      </c>
      <c r="F1593" s="1941" t="str">
        <f>'Part IX A-Scoring Criteria'!F39</f>
        <v>The HOME Commitment is included in Tab 40 and shows a $2,000,000 loan.  This amount represents 13% of the TDC of $15,349,522.  We qualify for 3 points.</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4150</v>
      </c>
      <c r="B1594" s="2037" t="s">
        <v>4208</v>
      </c>
      <c r="C1594" s="1707"/>
      <c r="D1594" s="1707"/>
      <c r="E1594" s="2038">
        <f>'Part IX A-Scoring Criteria'!E40</f>
        <v>2</v>
      </c>
      <c r="F1594" s="1941" t="str">
        <f>'Part IX A-Scoring Criteria'!F40</f>
        <v>We agree to accept Section 811 PBRA on up to 10% of our units.  Please note that 22.7% of our units are one bedrooms.  We are entitled to 2 points.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4153</v>
      </c>
      <c r="B1595" s="2037" t="s">
        <v>4209</v>
      </c>
      <c r="C1595" s="1707"/>
      <c r="D1595" s="1707"/>
      <c r="E1595" s="2039">
        <f>'Part IX A-Scoring Criteria'!E41</f>
        <v>0</v>
      </c>
      <c r="F1595" s="1941">
        <f>'Part IX A-Scoring Criteria'!F41</f>
        <v>0</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3615</v>
      </c>
      <c r="C1597" s="2040"/>
      <c r="D1597" s="2040"/>
      <c r="E1597" s="478"/>
      <c r="F1597" s="2040"/>
      <c r="G1597" s="1933"/>
      <c r="H1597" s="478"/>
      <c r="I1597" s="2041" t="s">
        <v>3513</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1999</v>
      </c>
      <c r="B1599" s="2045" t="s">
        <v>2642</v>
      </c>
      <c r="C1599" s="2022"/>
      <c r="D1599" s="2022"/>
      <c r="E1599" s="478"/>
      <c r="F1599" s="2022"/>
      <c r="G1599" s="1894"/>
      <c r="H1599" s="1792" t="s">
        <v>3616</v>
      </c>
      <c r="I1599" s="1792"/>
      <c r="J1599" s="2044">
        <f>'Part VI-Revenues &amp; Expenses'!$O$60</f>
        <v>123</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3617</v>
      </c>
      <c r="C1600" s="1792"/>
      <c r="D1600" s="1792"/>
      <c r="E1600" s="1792"/>
      <c r="F1600" s="1792"/>
      <c r="G1600" s="1978"/>
      <c r="H1600" s="2047" t="s">
        <v>3618</v>
      </c>
      <c r="I1600" s="2047" t="s">
        <v>3619</v>
      </c>
      <c r="J1600" s="1978"/>
      <c r="K1600" s="478" t="s">
        <v>3396</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3742</v>
      </c>
      <c r="H1601" s="1901"/>
      <c r="I1601" s="1901"/>
      <c r="J1601" s="1901"/>
      <c r="K1601" s="1767" t="s">
        <v>3618</v>
      </c>
      <c r="L1601" s="1767" t="s">
        <v>3619</v>
      </c>
      <c r="M1601" s="1836">
        <v>2</v>
      </c>
      <c r="N1601" s="2048" t="s">
        <v>1999</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2002</v>
      </c>
      <c r="C1602" s="2052">
        <v>0.15</v>
      </c>
      <c r="D1602" s="1961" t="s">
        <v>3395</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2002</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3366</v>
      </c>
      <c r="B1603" s="2051" t="s">
        <v>2004</v>
      </c>
      <c r="C1603" s="2052">
        <v>0.2</v>
      </c>
      <c r="D1603" s="1961" t="s">
        <v>3395</v>
      </c>
      <c r="E1603" s="2053"/>
      <c r="F1603" s="2053"/>
      <c r="G1603" s="2053"/>
      <c r="H1603" s="2054">
        <f>'Part IX A-Scoring Criteria'!H49</f>
        <v>25</v>
      </c>
      <c r="I1603" s="2054">
        <f>'Part IX A-Scoring Criteria'!I49</f>
        <v>0</v>
      </c>
      <c r="J1603" s="2053"/>
      <c r="K1603" s="1983">
        <f>'Part IX A-Scoring Criteria'!K49</f>
        <v>0.2032520325203252</v>
      </c>
      <c r="L1603" s="1983">
        <f>'Part IX A-Scoring Criteria'!L49</f>
        <v>0</v>
      </c>
      <c r="M1603" s="1831">
        <v>2</v>
      </c>
      <c r="N1603" s="2048" t="s">
        <v>2004</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2001</v>
      </c>
      <c r="B1605" s="2045" t="s">
        <v>4784</v>
      </c>
      <c r="C1605" s="2053"/>
      <c r="D1605" s="2053"/>
      <c r="E1605" s="1999"/>
      <c r="F1605" s="2053"/>
      <c r="G1605" s="2053"/>
      <c r="H1605" s="1901" t="s">
        <v>3678</v>
      </c>
      <c r="I1605" s="1901"/>
      <c r="J1605" s="2053"/>
      <c r="K1605" s="2053"/>
      <c r="L1605" s="2053"/>
      <c r="M1605" s="1836">
        <v>3</v>
      </c>
      <c r="N1605" s="1987" t="s">
        <v>2001</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2002</v>
      </c>
      <c r="C1606" s="2052">
        <v>0.3</v>
      </c>
      <c r="D1606" s="1961" t="s">
        <v>3677</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2002</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2004</v>
      </c>
      <c r="C1607" s="2010" t="s">
        <v>3992</v>
      </c>
      <c r="D1607" s="2053"/>
      <c r="E1607" s="2056"/>
      <c r="F1607" s="2010"/>
      <c r="G1607" s="2053"/>
      <c r="H1607" s="2053"/>
      <c r="I1607" s="2017"/>
      <c r="J1607" s="2017"/>
      <c r="K1607" s="2017"/>
      <c r="L1607" s="2017"/>
      <c r="M1607" s="2017"/>
      <c r="N1607" s="2048" t="s">
        <v>2004</v>
      </c>
      <c r="O1607" s="1942">
        <f>'Part IX A-Scoring Criteria'!O53</f>
        <v>0</v>
      </c>
      <c r="P1607" s="1942">
        <f>'Part IX A-Scoring Criteria'!P53</f>
        <v>0</v>
      </c>
      <c r="Q1607" s="2053"/>
      <c r="R1607" s="2053"/>
      <c r="S1607" s="2053"/>
      <c r="T1607" s="2053"/>
      <c r="U1607" s="2053"/>
      <c r="V1607" s="2053"/>
      <c r="W1607" s="2053"/>
      <c r="X1607" s="2053"/>
      <c r="Y1607" s="2053"/>
      <c r="Z1607" s="2053"/>
    </row>
    <row r="1608" spans="1:26" ht="15">
      <c r="A1608" s="1629"/>
      <c r="B1608" s="1900" t="s">
        <v>1880</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4146</v>
      </c>
      <c r="C1611" s="2022"/>
      <c r="D1611" s="2058"/>
      <c r="E1611" s="2022"/>
      <c r="F1611" s="2022"/>
      <c r="G1611" s="2022"/>
      <c r="H1611" s="2022"/>
      <c r="I1611" s="1792" t="s">
        <v>3795</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3884</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1999</v>
      </c>
      <c r="B1614" s="1844" t="s">
        <v>1888</v>
      </c>
      <c r="C1614" s="1818"/>
      <c r="D1614" s="1818"/>
      <c r="E1614" s="2022"/>
      <c r="F1614" s="1622"/>
      <c r="G1614" s="1631" t="s">
        <v>2736</v>
      </c>
      <c r="H1614" s="2022"/>
      <c r="I1614" s="1861" t="s">
        <v>4785</v>
      </c>
      <c r="J1614" s="1861"/>
      <c r="K1614" s="1861"/>
      <c r="L1614" s="1861"/>
      <c r="M1614" s="1828">
        <v>10</v>
      </c>
      <c r="N1614" s="2059" t="s">
        <v>1999</v>
      </c>
      <c r="O1614" s="2060">
        <f>'Part IX A-Scoring Criteria'!O60</f>
        <v>10</v>
      </c>
      <c r="P1614" s="2060">
        <f>'Part IX A-Scoring Criteria'!P60</f>
        <v>0</v>
      </c>
      <c r="Q1614" s="2061" t="str">
        <f>IF(OR($O1614=$M1614,$O1614=0,$O1614=""),"","*CHECK!*")</f>
        <v/>
      </c>
      <c r="R1614" s="2062" t="s">
        <v>2724</v>
      </c>
      <c r="S1614" s="2022"/>
      <c r="T1614" s="2022"/>
      <c r="U1614" s="2022"/>
      <c r="V1614" s="2022"/>
      <c r="W1614" s="2022"/>
      <c r="X1614" s="2022"/>
      <c r="Y1614" s="2022"/>
      <c r="Z1614" s="2022"/>
    </row>
    <row r="1615" spans="1:26" ht="16.5">
      <c r="A1615" s="1855" t="s">
        <v>2001</v>
      </c>
      <c r="B1615" s="1844" t="s">
        <v>3873</v>
      </c>
      <c r="C1615" s="2022"/>
      <c r="D1615" s="2058"/>
      <c r="E1615" s="2022"/>
      <c r="F1615" s="2063"/>
      <c r="G1615" s="1631" t="s">
        <v>4024</v>
      </c>
      <c r="H1615" s="2022"/>
      <c r="I1615" s="1861"/>
      <c r="J1615" s="1861"/>
      <c r="K1615" s="1861"/>
      <c r="L1615" s="1861"/>
      <c r="M1615" s="1934" t="s">
        <v>1250</v>
      </c>
      <c r="N1615" s="1977" t="s">
        <v>2001</v>
      </c>
      <c r="O1615" s="2060">
        <f>'Part IX A-Scoring Criteria'!O61</f>
        <v>0</v>
      </c>
      <c r="P1615" s="2060">
        <f>'Part IX A-Scoring Criteria'!P61</f>
        <v>0</v>
      </c>
      <c r="Q1615" s="2022"/>
      <c r="R1615" s="2062" t="s">
        <v>2724</v>
      </c>
      <c r="S1615" s="2022"/>
      <c r="T1615" s="2022"/>
      <c r="U1615" s="2022"/>
      <c r="V1615" s="2022"/>
      <c r="W1615" s="2022"/>
      <c r="X1615" s="2022"/>
      <c r="Y1615" s="2022"/>
      <c r="Z1615" s="2022"/>
    </row>
    <row r="1616" spans="1:26" ht="15">
      <c r="A1616" s="1629"/>
      <c r="B1616" s="2041" t="s">
        <v>3780</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1880</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2648</v>
      </c>
      <c r="C1621" s="2022"/>
      <c r="D1621" s="2058"/>
      <c r="E1621" s="2022"/>
      <c r="F1621" s="2022"/>
      <c r="G1621" s="2022"/>
      <c r="H1621" s="2022"/>
      <c r="I1621" s="2022"/>
      <c r="J1621" s="2022"/>
      <c r="K1621" s="2064" t="s">
        <v>1894</v>
      </c>
      <c r="L1621" s="2022"/>
      <c r="M1621" s="1837">
        <v>6</v>
      </c>
      <c r="N1621" s="1977"/>
      <c r="O1621" s="2021">
        <f>'Part IX A-Scoring Criteria'!O67</f>
        <v>5</v>
      </c>
      <c r="P1621" s="2021">
        <f>'Part IX A-Scoring Criteria'!P67</f>
        <v>0</v>
      </c>
      <c r="Q1621" s="1837" t="s">
        <v>443</v>
      </c>
      <c r="R1621" s="2065" t="s">
        <v>4786</v>
      </c>
      <c r="S1621" s="2065"/>
      <c r="T1621" s="2065"/>
      <c r="U1621" s="2065"/>
      <c r="V1621" s="2022"/>
      <c r="W1621" s="2022"/>
      <c r="X1621" s="2022"/>
      <c r="Y1621" s="2022"/>
      <c r="Z1621" s="2022"/>
    </row>
    <row r="1622" spans="1:26" ht="15">
      <c r="A1622" s="2023"/>
      <c r="B1622" s="1830" t="s">
        <v>3995</v>
      </c>
      <c r="C1622" s="2022"/>
      <c r="D1622" s="2058"/>
      <c r="E1622" s="2022"/>
      <c r="F1622" s="2022"/>
      <c r="G1622" s="2022"/>
      <c r="H1622" s="1844" t="s">
        <v>2812</v>
      </c>
      <c r="I1622" s="1879"/>
      <c r="J1622" s="1844" t="str">
        <f>'Part I-Project Information'!$H$100</f>
        <v>Flexible</v>
      </c>
      <c r="K1622" s="1830"/>
      <c r="L1622" s="2022"/>
      <c r="M1622" s="1837"/>
      <c r="N1622" s="1977"/>
      <c r="O1622" s="2066" t="s">
        <v>3621</v>
      </c>
      <c r="P1622" s="2066" t="s">
        <v>3622</v>
      </c>
      <c r="Q1622" s="1837"/>
      <c r="R1622" s="2065"/>
      <c r="S1622" s="2065"/>
      <c r="T1622" s="2065"/>
      <c r="U1622" s="2065"/>
      <c r="V1622" s="2022"/>
      <c r="W1622" s="2022"/>
      <c r="X1622" s="2022"/>
      <c r="Y1622" s="2022"/>
      <c r="Z1622" s="2022"/>
    </row>
    <row r="1623" spans="1:26" ht="15">
      <c r="A1623" s="2023"/>
      <c r="B1623" s="2067" t="s">
        <v>2002</v>
      </c>
      <c r="C1623" s="1156" t="s">
        <v>3620</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2004</v>
      </c>
      <c r="C1624" s="1156" t="s">
        <v>3993</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2551</v>
      </c>
      <c r="C1625" s="1156" t="s">
        <v>3994</v>
      </c>
      <c r="D1625" s="2058"/>
      <c r="E1625" s="2022"/>
      <c r="F1625" s="2022"/>
      <c r="G1625" s="2022"/>
      <c r="H1625" s="2041"/>
      <c r="I1625" s="1900"/>
      <c r="J1625" s="1830"/>
      <c r="K1625" s="1830"/>
      <c r="L1625" s="2022"/>
      <c r="M1625" s="2022"/>
      <c r="N1625" s="1977"/>
      <c r="O1625" s="1942" t="str">
        <f>'Part IX A-Scoring Criteria'!O71</f>
        <v>Yes</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4002</v>
      </c>
      <c r="C1627" s="2022"/>
      <c r="D1627" s="2058"/>
      <c r="E1627" s="2022"/>
      <c r="F1627" s="1830" t="s">
        <v>3743</v>
      </c>
      <c r="G1627" s="1830"/>
      <c r="H1627" s="1830"/>
      <c r="I1627" s="1830"/>
      <c r="J1627" s="1830" t="s">
        <v>3744</v>
      </c>
      <c r="K1627" s="1830"/>
      <c r="L1627" s="1830"/>
      <c r="M1627" s="1830"/>
      <c r="N1627" s="1977"/>
      <c r="O1627" s="1793" t="s">
        <v>4787</v>
      </c>
      <c r="P1627" s="2068"/>
      <c r="Q1627" s="1837"/>
      <c r="R1627" s="2065"/>
      <c r="S1627" s="2065"/>
      <c r="T1627" s="2065"/>
      <c r="U1627" s="2065"/>
      <c r="V1627" s="2022"/>
      <c r="W1627" s="2022"/>
      <c r="X1627" s="2022"/>
      <c r="Y1627" s="2022"/>
      <c r="Z1627" s="2022"/>
    </row>
    <row r="1628" spans="1:26" ht="15">
      <c r="A1628" s="2023"/>
      <c r="B1628" s="2022"/>
      <c r="C1628" s="1830" t="s">
        <v>4001</v>
      </c>
      <c r="D1628" s="1714"/>
      <c r="E1628" s="1637"/>
      <c r="F1628" s="1641">
        <f>'Part IX A-Scoring Criteria'!F74</f>
        <v>33.760553000000002</v>
      </c>
      <c r="G1628" s="1641">
        <f>'Part IX A-Scoring Criteria'!G74</f>
        <v>0</v>
      </c>
      <c r="H1628" s="1641">
        <f>'Part IX A-Scoring Criteria'!H74</f>
        <v>0</v>
      </c>
      <c r="I1628" s="1641">
        <f>'Part IX A-Scoring Criteria'!I74</f>
        <v>0</v>
      </c>
      <c r="J1628" s="1641">
        <f>'Part IX A-Scoring Criteria'!J74</f>
        <v>-84.442694000000003</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4003</v>
      </c>
      <c r="E1629" s="1637"/>
      <c r="F1629" s="1641">
        <f>'Part IX A-Scoring Criteria'!F75</f>
        <v>33.752766999999999</v>
      </c>
      <c r="G1629" s="1641">
        <f>'Part IX A-Scoring Criteria'!G75</f>
        <v>0</v>
      </c>
      <c r="H1629" s="1641">
        <f>'Part IX A-Scoring Criteria'!H75</f>
        <v>0</v>
      </c>
      <c r="I1629" s="1641">
        <f>'Part IX A-Scoring Criteria'!I75</f>
        <v>0</v>
      </c>
      <c r="J1629" s="1641">
        <f>'Part IX A-Scoring Criteria'!J75</f>
        <v>-84.445294000000004</v>
      </c>
      <c r="K1629" s="1641">
        <f>'Part IX A-Scoring Criteria'!K75</f>
        <v>0</v>
      </c>
      <c r="L1629" s="1641">
        <f>'Part IX A-Scoring Criteria'!L75</f>
        <v>0</v>
      </c>
      <c r="M1629" s="1641">
        <f>'Part IX A-Scoring Criteria'!M75</f>
        <v>0</v>
      </c>
      <c r="N1629" s="1977"/>
      <c r="O1629" s="2069">
        <f>'Part IX A-Scoring Criteria'!O75</f>
        <v>0.7</v>
      </c>
      <c r="P1629" s="2069">
        <f>'Part IX A-Scoring Criteria'!P75</f>
        <v>0</v>
      </c>
      <c r="Q1629" s="1837"/>
      <c r="R1629" s="2065"/>
      <c r="S1629" s="2065"/>
      <c r="T1629" s="2065"/>
      <c r="U1629" s="2065"/>
      <c r="V1629" s="2022"/>
      <c r="W1629" s="2022"/>
      <c r="X1629" s="2022"/>
      <c r="Y1629" s="2022"/>
      <c r="Z1629" s="2022"/>
    </row>
    <row r="1630" spans="1:26" ht="15" customHeight="1">
      <c r="A1630" s="1927" t="s">
        <v>4193</v>
      </c>
      <c r="B1630" s="1927"/>
      <c r="C1630" s="1830" t="s">
        <v>4144</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4142</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2803</v>
      </c>
      <c r="B1633" s="2024"/>
      <c r="C1633" s="2022"/>
      <c r="D1633" s="2058"/>
      <c r="E1633" s="2022"/>
      <c r="F1633" s="2071" t="s">
        <v>4788</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1999</v>
      </c>
      <c r="B1634" s="1844" t="s">
        <v>3773</v>
      </c>
      <c r="C1634" s="2022"/>
      <c r="D1634" s="2058"/>
      <c r="E1634" s="2022"/>
      <c r="F1634" s="2041" t="s">
        <v>4789</v>
      </c>
      <c r="G1634" s="2022"/>
      <c r="H1634" s="2022"/>
      <c r="I1634" s="2072" t="s">
        <v>4790</v>
      </c>
      <c r="J1634" s="2072"/>
      <c r="K1634" s="2072"/>
      <c r="L1634" s="2072"/>
      <c r="M1634" s="1837">
        <v>6</v>
      </c>
      <c r="N1634" s="2048" t="s">
        <v>1999</v>
      </c>
      <c r="O1634" s="1897">
        <f>'Part IX A-Scoring Criteria'!O80</f>
        <v>5</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2002</v>
      </c>
      <c r="C1635" s="1936" t="s">
        <v>4791</v>
      </c>
      <c r="D1635" s="1936"/>
      <c r="E1635" s="1936"/>
      <c r="F1635" s="1936"/>
      <c r="G1635" s="1936"/>
      <c r="H1635" s="1936"/>
      <c r="I1635" s="2072"/>
      <c r="J1635" s="2072"/>
      <c r="K1635" s="2072"/>
      <c r="L1635" s="2072"/>
      <c r="M1635" s="2075">
        <v>5</v>
      </c>
      <c r="N1635" s="2067" t="s">
        <v>2002</v>
      </c>
      <c r="O1635" s="2060">
        <f>'Part IX A-Scoring Criteria'!O81</f>
        <v>0</v>
      </c>
      <c r="P1635" s="2060">
        <f>'Part IX A-Scoring Criteria'!P81</f>
        <v>0</v>
      </c>
      <c r="Q1635" s="2061" t="str">
        <f>IF(OR($O1635=$M1635,$O1635=0,$O1635=""),"","*CHECK!*")</f>
        <v/>
      </c>
      <c r="R1635" s="2062" t="s">
        <v>2724</v>
      </c>
      <c r="S1635" s="2073"/>
      <c r="T1635" s="2073"/>
      <c r="U1635" s="2073"/>
      <c r="V1635" s="2073"/>
      <c r="W1635" s="2073"/>
      <c r="X1635" s="2073"/>
      <c r="Y1635" s="2073"/>
      <c r="Z1635" s="2073"/>
    </row>
    <row r="1636" spans="1:26" ht="15" customHeight="1">
      <c r="A1636" s="1942" t="s">
        <v>1365</v>
      </c>
      <c r="B1636" s="2074" t="s">
        <v>2004</v>
      </c>
      <c r="C1636" s="1961" t="s">
        <v>4792</v>
      </c>
      <c r="D1636" s="1961"/>
      <c r="E1636" s="1961"/>
      <c r="F1636" s="1961"/>
      <c r="G1636" s="1961"/>
      <c r="H1636" s="1961"/>
      <c r="I1636" s="2072"/>
      <c r="J1636" s="2072"/>
      <c r="K1636" s="2072"/>
      <c r="L1636" s="2072"/>
      <c r="M1636" s="2075">
        <v>4</v>
      </c>
      <c r="N1636" s="2067" t="s">
        <v>2004</v>
      </c>
      <c r="O1636" s="2060">
        <f>'Part IX A-Scoring Criteria'!O82</f>
        <v>4</v>
      </c>
      <c r="P1636" s="2060">
        <f>'Part IX A-Scoring Criteria'!P82</f>
        <v>0</v>
      </c>
      <c r="Q1636" s="2061" t="str">
        <f>IF(OR($O1636=$M1636,$O1636=0,$O1636=""),"","*CHECK!*")</f>
        <v/>
      </c>
      <c r="R1636" s="2062" t="s">
        <v>2724</v>
      </c>
      <c r="S1636" s="2073"/>
      <c r="T1636" s="2073"/>
      <c r="U1636" s="2073"/>
      <c r="V1636" s="2073"/>
      <c r="W1636" s="2073"/>
      <c r="X1636" s="2073"/>
      <c r="Y1636" s="2073"/>
      <c r="Z1636" s="2073"/>
    </row>
    <row r="1637" spans="1:26" ht="15" customHeight="1">
      <c r="A1637" s="2073"/>
      <c r="B1637" s="2074" t="s">
        <v>2551</v>
      </c>
      <c r="C1637" s="1961" t="s">
        <v>3774</v>
      </c>
      <c r="D1637" s="1961"/>
      <c r="E1637" s="1961"/>
      <c r="F1637" s="1961"/>
      <c r="G1637" s="1977" t="s">
        <v>4141</v>
      </c>
      <c r="H1637" s="1969" t="str">
        <f>'Part I-Project Information'!$H$78</f>
        <v>Other Non-Senior</v>
      </c>
      <c r="I1637" s="1707" t="str">
        <f>'Part IX A-Scoring Criteria'!I83</f>
        <v>MARTA Bankhead Transit Station</v>
      </c>
      <c r="J1637" s="1707">
        <f>'Part IX A-Scoring Criteria'!J83</f>
        <v>0</v>
      </c>
      <c r="K1637" s="1707">
        <f>'Part IX A-Scoring Criteria'!K83</f>
        <v>0</v>
      </c>
      <c r="L1637" s="2076">
        <f>'Part IX A-Scoring Criteria'!L83</f>
        <v>404858500</v>
      </c>
      <c r="M1637" s="2075">
        <v>1</v>
      </c>
      <c r="N1637" s="2067" t="s">
        <v>2551</v>
      </c>
      <c r="O1637" s="2060">
        <f>'Part IX A-Scoring Criteria'!O83</f>
        <v>1</v>
      </c>
      <c r="P1637" s="2060">
        <f>'Part IX A-Scoring Criteria'!P83</f>
        <v>0</v>
      </c>
      <c r="Q1637" s="2061" t="str">
        <f>IF(OR($O1637=$M1637,$O1637=0,$O1637=""),"","*CHECK!*")</f>
        <v/>
      </c>
      <c r="R1637" s="2062" t="s">
        <v>2724</v>
      </c>
      <c r="S1637" s="2073"/>
      <c r="T1637" s="2073"/>
      <c r="U1637" s="2073"/>
      <c r="V1637" s="2073"/>
      <c r="W1637" s="2073"/>
      <c r="X1637" s="2073"/>
      <c r="Y1637" s="2073"/>
      <c r="Z1637" s="2073"/>
    </row>
    <row r="1638" spans="1:26" ht="15">
      <c r="A1638" s="1976" t="s">
        <v>2001</v>
      </c>
      <c r="B1638" s="2077" t="s">
        <v>3775</v>
      </c>
      <c r="C1638" s="1327"/>
      <c r="D1638" s="1327"/>
      <c r="E1638" s="1327"/>
      <c r="F1638" s="2078" t="s">
        <v>4793</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2001</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2002</v>
      </c>
      <c r="C1639" s="1901" t="s">
        <v>4794</v>
      </c>
      <c r="D1639" s="1901"/>
      <c r="E1639" s="1901"/>
      <c r="F1639" s="1901"/>
      <c r="G1639" s="1901"/>
      <c r="H1639" s="1901"/>
      <c r="I1639" s="1707" t="str">
        <f>'Part IX A-Scoring Criteria'!I85</f>
        <v>www.itsmarta.com/West-lake.aspx</v>
      </c>
      <c r="J1639" s="1707">
        <f>'Part IX A-Scoring Criteria'!J85</f>
        <v>0</v>
      </c>
      <c r="K1639" s="1707">
        <f>'Part IX A-Scoring Criteria'!K85</f>
        <v>0</v>
      </c>
      <c r="L1639" s="1707">
        <f>'Part IX A-Scoring Criteria'!L85</f>
        <v>0</v>
      </c>
      <c r="M1639" s="2075">
        <v>3</v>
      </c>
      <c r="N1639" s="2067" t="s">
        <v>2002</v>
      </c>
      <c r="O1639" s="2060">
        <f>'Part IX A-Scoring Criteria'!O85</f>
        <v>0</v>
      </c>
      <c r="P1639" s="2060">
        <f>'Part IX A-Scoring Criteria'!P85</f>
        <v>0</v>
      </c>
      <c r="Q1639" s="2061" t="str">
        <f>IF(OR($O1639=$M1639,$O1639=0,$O1639=""),"","*CHECK!*")</f>
        <v/>
      </c>
      <c r="R1639" s="2062" t="s">
        <v>2724</v>
      </c>
      <c r="S1639" s="2073"/>
      <c r="T1639" s="2073"/>
      <c r="U1639" s="2073"/>
      <c r="V1639" s="2073"/>
      <c r="W1639" s="2073"/>
      <c r="X1639" s="2073"/>
      <c r="Y1639" s="2073"/>
      <c r="Z1639" s="2073"/>
    </row>
    <row r="1640" spans="1:26" ht="15" customHeight="1">
      <c r="A1640" s="1988" t="s">
        <v>1365</v>
      </c>
      <c r="B1640" s="2074" t="s">
        <v>2004</v>
      </c>
      <c r="C1640" s="1901" t="s">
        <v>4795</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2004</v>
      </c>
      <c r="O1640" s="2060">
        <f>'Part IX A-Scoring Criteria'!O86</f>
        <v>0</v>
      </c>
      <c r="P1640" s="2060">
        <f>'Part IX A-Scoring Criteria'!P86</f>
        <v>0</v>
      </c>
      <c r="Q1640" s="2061" t="str">
        <f>IF(OR($O1640=$M1640,$O1640=0,$O1640=""),"","*CHECK!*")</f>
        <v/>
      </c>
      <c r="R1640" s="2062" t="s">
        <v>2724</v>
      </c>
      <c r="S1640" s="2022"/>
      <c r="T1640" s="2022"/>
      <c r="U1640" s="2022"/>
      <c r="V1640" s="2022"/>
      <c r="W1640" s="2022"/>
      <c r="X1640" s="2022"/>
      <c r="Y1640" s="2022"/>
      <c r="Z1640" s="2022"/>
    </row>
    <row r="1641" spans="1:26" ht="15" customHeight="1">
      <c r="A1641" s="1988" t="s">
        <v>1365</v>
      </c>
      <c r="B1641" s="2074" t="s">
        <v>2551</v>
      </c>
      <c r="C1641" s="1936" t="s">
        <v>4796</v>
      </c>
      <c r="D1641" s="1936"/>
      <c r="E1641" s="1936"/>
      <c r="F1641" s="1936"/>
      <c r="G1641" s="1936"/>
      <c r="H1641" s="1936"/>
      <c r="I1641" s="1707" t="str">
        <f>'Part IX A-Scoring Criteria'!I87</f>
        <v>www.itsmarta.com/West-lake.aspx</v>
      </c>
      <c r="J1641" s="1707">
        <f>'Part IX A-Scoring Criteria'!J87</f>
        <v>0</v>
      </c>
      <c r="K1641" s="1707">
        <f>'Part IX A-Scoring Criteria'!K87</f>
        <v>0</v>
      </c>
      <c r="L1641" s="1707">
        <f>'Part IX A-Scoring Criteria'!L87</f>
        <v>0</v>
      </c>
      <c r="M1641" s="2075">
        <v>1</v>
      </c>
      <c r="N1641" s="2067" t="s">
        <v>2551</v>
      </c>
      <c r="O1641" s="2060">
        <f>'Part IX A-Scoring Criteria'!O87</f>
        <v>0</v>
      </c>
      <c r="P1641" s="2060">
        <f>'Part IX A-Scoring Criteria'!P87</f>
        <v>0</v>
      </c>
      <c r="Q1641" s="2061" t="str">
        <f>IF(OR($O1641=$M1641,$O1641=0,$O1641=""),"","*CHECK!*")</f>
        <v/>
      </c>
      <c r="R1641" s="2062" t="s">
        <v>2724</v>
      </c>
      <c r="S1641" s="2022"/>
      <c r="T1641" s="2022"/>
      <c r="U1641" s="2022"/>
      <c r="V1641" s="2022"/>
      <c r="W1641" s="2022"/>
      <c r="X1641" s="2022"/>
      <c r="Y1641" s="2022"/>
      <c r="Z1641" s="2022"/>
    </row>
    <row r="1642" spans="1:26" ht="15">
      <c r="A1642" s="2070" t="s">
        <v>2805</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4797</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2724</v>
      </c>
      <c r="S1643" s="2040"/>
      <c r="T1643" s="2040"/>
      <c r="U1643" s="2040"/>
      <c r="V1643" s="2040"/>
      <c r="W1643" s="2040"/>
      <c r="X1643" s="2040"/>
      <c r="Y1643" s="2040"/>
      <c r="Z1643" s="2040"/>
    </row>
    <row r="1644" spans="1:26" ht="15">
      <c r="A1644" s="478" t="s">
        <v>4798</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1880</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3</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4799</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Enterprise Foundation Green Communities - 10 Pts &gt; Min</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2812</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4005</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4010</v>
      </c>
      <c r="D1653" s="2085"/>
      <c r="E1653" s="2085"/>
      <c r="F1653" s="2085"/>
      <c r="G1653" s="2085"/>
      <c r="H1653" s="2085"/>
      <c r="I1653" s="2021">
        <f>'Part IX A-Scoring Criteria'!I99</f>
        <v>30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4011</v>
      </c>
      <c r="D1654" s="2085"/>
      <c r="E1654" s="2085"/>
      <c r="F1654" s="2085"/>
      <c r="G1654" s="2085"/>
      <c r="H1654" s="2085"/>
      <c r="I1654" s="2021">
        <f>'Part IX A-Scoring Criteria'!I100</f>
        <v>58</v>
      </c>
      <c r="J1654" s="2021">
        <f>'Part IX A-Scoring Criteria'!J100</f>
        <v>0</v>
      </c>
      <c r="K1654" s="1876"/>
      <c r="L1654" s="2085"/>
      <c r="M1654" s="2085"/>
      <c r="N1654" s="2085"/>
      <c r="O1654" s="2085" t="s">
        <v>4019</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1999</v>
      </c>
      <c r="B1656" s="1844" t="s">
        <v>4800</v>
      </c>
      <c r="D1656" s="1629"/>
      <c r="K1656" s="1799" t="str">
        <f>IF(OR(AND(O1656&gt;0,O1657&gt;0),AND(O1657&gt;0,O1658&gt;0),AND(O1656&gt;0,O1658&gt;0)),"Choose A, B, or C.  See instructions.",IF(AND(O1658&gt;0,O1659&gt;0),"Choose A or B when choosing D.  See instructions.",""))</f>
        <v/>
      </c>
      <c r="L1656" s="1799"/>
      <c r="M1656" s="2075">
        <v>2</v>
      </c>
      <c r="N1656" s="1977" t="s">
        <v>1999</v>
      </c>
      <c r="O1656" s="2060">
        <f>'Part IX A-Scoring Criteria'!O102</f>
        <v>0</v>
      </c>
      <c r="P1656" s="2060">
        <f>'Part IX A-Scoring Criteria'!P102</f>
        <v>0</v>
      </c>
      <c r="Q1656" s="2061" t="str">
        <f>IF(OR($O1656=$M1656,$O1656=0,$O1656=""),"","*CHECK!*")</f>
        <v/>
      </c>
      <c r="R1656" s="2062" t="s">
        <v>2724</v>
      </c>
    </row>
    <row r="1657" spans="1:26" ht="13.5" customHeight="1">
      <c r="A1657" s="1855" t="s">
        <v>2001</v>
      </c>
      <c r="B1657" s="1844" t="s">
        <v>312</v>
      </c>
      <c r="D1657" s="1629"/>
      <c r="E1657" s="1629"/>
      <c r="K1657" s="1799"/>
      <c r="L1657" s="1799"/>
      <c r="M1657" s="2075">
        <v>1</v>
      </c>
      <c r="N1657" s="1977" t="s">
        <v>2001</v>
      </c>
      <c r="O1657" s="2060">
        <f>'Part IX A-Scoring Criteria'!O103</f>
        <v>0</v>
      </c>
      <c r="P1657" s="2060">
        <f>'Part IX A-Scoring Criteria'!P103</f>
        <v>0</v>
      </c>
      <c r="Q1657" s="2061" t="str">
        <f>IF(OR($O1657=$M1657,$O1657=0,$O1657=""),"","*CHECK!*")</f>
        <v/>
      </c>
      <c r="R1657" s="2062" t="s">
        <v>2724</v>
      </c>
    </row>
    <row r="1658" spans="1:26" ht="13.5" customHeight="1">
      <c r="A1658" s="1855" t="s">
        <v>757</v>
      </c>
      <c r="B1658" s="1844" t="s">
        <v>4801</v>
      </c>
      <c r="D1658" s="1629"/>
      <c r="E1658" s="1629"/>
      <c r="F1658" s="1629"/>
      <c r="K1658" s="1799"/>
      <c r="L1658" s="1799"/>
      <c r="M1658" s="2075">
        <v>3</v>
      </c>
      <c r="N1658" s="1977" t="s">
        <v>757</v>
      </c>
      <c r="O1658" s="2060">
        <f>'Part IX A-Scoring Criteria'!O104</f>
        <v>3</v>
      </c>
      <c r="P1658" s="2060">
        <f>'Part IX A-Scoring Criteria'!P104</f>
        <v>0</v>
      </c>
      <c r="Q1658" s="2061" t="str">
        <f>IF(OR($O1658=$M1658,$O1658=0,$O1658=""),"","*CHECK!*")</f>
        <v/>
      </c>
      <c r="R1658" s="2062" t="s">
        <v>2724</v>
      </c>
    </row>
    <row r="1659" spans="1:26" ht="13.5" customHeight="1">
      <c r="A1659" s="1855" t="s">
        <v>2131</v>
      </c>
      <c r="B1659" s="1844" t="s">
        <v>3804</v>
      </c>
      <c r="D1659" s="1629"/>
      <c r="E1659" s="1629"/>
      <c r="F1659" s="478" t="s">
        <v>4021</v>
      </c>
      <c r="J1659" s="1837" t="str">
        <f>'Part IX A-Scoring Criteria'!J105</f>
        <v>&lt;Select &gt;</v>
      </c>
      <c r="K1659" s="1799"/>
      <c r="L1659" s="1799"/>
      <c r="M1659" s="2075">
        <v>1</v>
      </c>
      <c r="N1659" s="1977" t="s">
        <v>2131</v>
      </c>
      <c r="O1659" s="2060">
        <f>'Part IX A-Scoring Criteria'!O105</f>
        <v>0</v>
      </c>
      <c r="P1659" s="2060">
        <f>'Part IX A-Scoring Criteria'!P105</f>
        <v>0</v>
      </c>
      <c r="Q1659" s="2061" t="str">
        <f>IF(OR($O1659=$M1659,$O1659=0,$O1659=""),"","*CHECK!*")</f>
        <v/>
      </c>
      <c r="R1659" s="2062" t="s">
        <v>2724</v>
      </c>
    </row>
    <row r="1660" spans="1:26" ht="15">
      <c r="A1660" s="1629"/>
      <c r="B1660" s="2041" t="s">
        <v>3780</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409.5">
      <c r="A1661" s="1707" t="str">
        <f>'Part IX A-Scoring Criteria'!A107</f>
        <v>We have elected to participate in the Enterprise Foundation Green Communities certification. We have included the Scoring spreadsheet showing we are entitled to 58 points under Enterprise's program.  Since the program minimum is 30, we would have to score at least 40 points to qualify for 3 pts. under this section. A score of 58 is 18 points over the necessary threshold.   We have also submitted the DCA Green Building attendance certificate from 2017 for Betty Gomez, construction manager for New Columbia Residential.</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1880</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4022</v>
      </c>
      <c r="C1665" s="2022"/>
      <c r="D1665" s="478"/>
      <c r="E1665" s="478"/>
      <c r="F1665" s="1837"/>
      <c r="G1665" s="1837"/>
      <c r="H1665" s="1837"/>
      <c r="I1665" s="2071" t="s">
        <v>4788</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1999</v>
      </c>
      <c r="B1667" s="1844" t="s">
        <v>4023</v>
      </c>
      <c r="C1667" s="2040"/>
      <c r="D1667" s="2058"/>
      <c r="E1667" s="1156" t="s">
        <v>4148</v>
      </c>
      <c r="F1667" s="2022"/>
      <c r="G1667" s="1969"/>
      <c r="H1667" s="2022"/>
      <c r="I1667" s="1977" t="s">
        <v>4141</v>
      </c>
      <c r="J1667" s="1969" t="str">
        <f>'Part I-Project Information'!$H$78</f>
        <v>Other Non-Senior</v>
      </c>
      <c r="K1667" s="2058"/>
      <c r="L1667" s="1985" t="str">
        <f>IF(OR($O1667=$M1667,$O1667=0,$O1667=""),"","* * Check Score! * *")</f>
        <v/>
      </c>
      <c r="M1667" s="1828">
        <v>3</v>
      </c>
      <c r="N1667" s="1977" t="s">
        <v>1999</v>
      </c>
      <c r="O1667" s="2021">
        <f>'Part IX A-Scoring Criteria'!O113</f>
        <v>0</v>
      </c>
      <c r="P1667" s="2021">
        <f>'Part IX A-Scoring Criteria'!P113</f>
        <v>0</v>
      </c>
      <c r="Q1667" s="2061" t="str">
        <f>IF(OR($O1667=$M1667,$O1667=0,$O1667=""),"","*CHECK!*")</f>
        <v/>
      </c>
      <c r="R1667" s="2062" t="s">
        <v>2724</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2001</v>
      </c>
      <c r="B1669" s="1844" t="s">
        <v>4025</v>
      </c>
      <c r="C1669" s="2040"/>
      <c r="D1669" s="2087"/>
      <c r="E1669" s="1681" t="s">
        <v>4255</v>
      </c>
      <c r="F1669" s="2022"/>
      <c r="G1669" s="1969"/>
      <c r="H1669" s="2022"/>
      <c r="I1669" s="2088"/>
      <c r="J1669" s="2058"/>
      <c r="K1669" s="2022"/>
      <c r="L1669" s="1985" t="str">
        <f>IF(OR($O1669&lt;=$M1669,$O1669=0,$O1669=""),"","* * Check Score! * *")</f>
        <v/>
      </c>
      <c r="M1669" s="1824">
        <v>3</v>
      </c>
      <c r="N1669" s="1977" t="s">
        <v>2001</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4178</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33.75">
      <c r="A1671" s="1975"/>
      <c r="B1671" s="478"/>
      <c r="C1671" s="2092" t="s">
        <v>4179</v>
      </c>
      <c r="D1671" s="1901" t="str">
        <f>'Part IX A-Scoring Criteria'!D117</f>
        <v>Grady Health System 2016 CHNA</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2002</v>
      </c>
      <c r="C1673" s="1844" t="s">
        <v>4026</v>
      </c>
      <c r="D1673" s="2040"/>
      <c r="E1673" s="2040"/>
      <c r="F1673" s="478"/>
      <c r="G1673" s="478"/>
      <c r="H1673" s="2040"/>
      <c r="I1673" s="2040"/>
      <c r="J1673" s="2040"/>
      <c r="K1673" s="2040"/>
      <c r="L1673" s="1985" t="str">
        <f>IF(OR($O1673=$M1673,$O1673=0,$O1673=""),"","* * Check Score! * *")</f>
        <v/>
      </c>
      <c r="M1673" s="1831">
        <v>2</v>
      </c>
      <c r="N1673" s="2059" t="s">
        <v>2002</v>
      </c>
      <c r="O1673" s="2021">
        <f>'Part IX A-Scoring Criteria'!O119</f>
        <v>2</v>
      </c>
      <c r="P1673" s="2021">
        <f>'Part IX A-Scoring Criteria'!P119</f>
        <v>0</v>
      </c>
      <c r="Q1673" s="2061" t="str">
        <f>IF(OR($O1673=$M1673,$O1673=0,$O1673=""),"","*CHECK!*")</f>
        <v/>
      </c>
      <c r="R1673" s="2062" t="s">
        <v>2724</v>
      </c>
      <c r="S1673" s="2089"/>
      <c r="T1673" s="2089"/>
      <c r="U1673" s="2040"/>
      <c r="V1673" s="2040"/>
      <c r="W1673" s="2040"/>
      <c r="X1673" s="2040"/>
      <c r="Y1673" s="2040"/>
      <c r="Z1673" s="2040"/>
    </row>
    <row r="1674" spans="1:26" ht="18.75">
      <c r="A1674" s="1855"/>
      <c r="B1674" s="2093"/>
      <c r="C1674" s="478" t="s">
        <v>4027</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25.5">
      <c r="A1675" s="1855"/>
      <c r="B1675" s="2093"/>
      <c r="C1675" s="478" t="s">
        <v>4802</v>
      </c>
      <c r="D1675" s="1631" t="s">
        <v>4149</v>
      </c>
      <c r="E1675" s="2040"/>
      <c r="F1675" s="478"/>
      <c r="G1675" s="478"/>
      <c r="H1675" s="1792" t="str">
        <f>'Part IX A-Scoring Criteria'!H121</f>
        <v>HEALing Community Center</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4030</v>
      </c>
      <c r="D1676" s="2040"/>
      <c r="E1676" s="478"/>
      <c r="F1676" s="478"/>
      <c r="G1676" s="478"/>
      <c r="H1676" s="2040"/>
      <c r="I1676" s="2040"/>
      <c r="J1676" s="2040"/>
      <c r="K1676" s="2040"/>
      <c r="L1676" s="2040"/>
      <c r="M1676" s="1828"/>
      <c r="N1676" s="1987" t="s">
        <v>3809</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4031</v>
      </c>
      <c r="D1677" s="478"/>
      <c r="E1677" s="478"/>
      <c r="F1677" s="478"/>
      <c r="G1677" s="478"/>
      <c r="H1677" s="478"/>
      <c r="I1677" s="478"/>
      <c r="J1677" s="478"/>
      <c r="K1677" s="478"/>
      <c r="L1677" s="478"/>
      <c r="M1677" s="1934"/>
      <c r="N1677" s="1977" t="s">
        <v>3810</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4176</v>
      </c>
      <c r="D1678" s="1156"/>
      <c r="E1678" s="478"/>
      <c r="F1678" s="478"/>
      <c r="G1678" s="478"/>
      <c r="H1678" s="1156"/>
      <c r="I1678" s="1156"/>
      <c r="J1678" s="1156"/>
      <c r="K1678" s="1156"/>
      <c r="L1678" s="1999" t="s">
        <v>3846</v>
      </c>
      <c r="M1678" s="1999"/>
      <c r="N1678" s="1999"/>
      <c r="O1678" s="1999" t="s">
        <v>3845</v>
      </c>
      <c r="P1678" s="1999"/>
      <c r="Q1678" s="478"/>
      <c r="R1678" s="1156"/>
      <c r="S1678" s="1156"/>
      <c r="T1678" s="1156"/>
      <c r="U1678" s="1156"/>
      <c r="V1678" s="1156"/>
      <c r="W1678" s="1156"/>
      <c r="X1678" s="1156"/>
      <c r="Y1678" s="1156"/>
      <c r="Z1678" s="1156"/>
    </row>
    <row r="1679" spans="1:26" ht="22.5">
      <c r="A1679" s="1975"/>
      <c r="B1679" s="1977"/>
      <c r="C1679" s="1936" t="str">
        <f>'Part IX A-Scoring Criteria'!C125</f>
        <v>Adult Medicine</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ht="22.5">
      <c r="A1680" s="1975"/>
      <c r="B1680" s="1987"/>
      <c r="C1680" s="1936" t="str">
        <f>'Part IX A-Scoring Criteria'!C126</f>
        <v>Behavorial Health</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IF(O1680&gt;15, "Too much!","")</f>
        <v/>
      </c>
      <c r="R1680" s="1156"/>
      <c r="S1680" s="1156"/>
      <c r="T1680" s="1156"/>
      <c r="U1680" s="1156"/>
      <c r="V1680" s="1156"/>
      <c r="W1680" s="1156"/>
      <c r="X1680" s="1156"/>
      <c r="Y1680" s="1156"/>
      <c r="Z1680" s="1156"/>
    </row>
    <row r="1681" spans="1:26">
      <c r="A1681" s="1975"/>
      <c r="B1681" s="1977"/>
      <c r="C1681" s="1936" t="str">
        <f>'Part IX A-Scoring Criteria'!C127</f>
        <v>Dental</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monthly</v>
      </c>
      <c r="M1681" s="1961">
        <f>'Part IX A-Scoring Criteria'!M127</f>
        <v>0</v>
      </c>
      <c r="N1681" s="1961">
        <f>'Part IX A-Scoring Criteria'!N127</f>
        <v>0</v>
      </c>
      <c r="O1681" s="2095">
        <f>'Part IX A-Scoring Criteria'!O127</f>
        <v>0</v>
      </c>
      <c r="P1681" s="2095">
        <f>'Part IX A-Scoring Criteria'!P127</f>
        <v>0</v>
      </c>
      <c r="Q1681" s="1933" t="str">
        <f>IF(O1681&gt;15, "Too much!","")</f>
        <v/>
      </c>
      <c r="R1681" s="1156"/>
      <c r="S1681" s="1156"/>
      <c r="T1681" s="1156"/>
      <c r="U1681" s="1156"/>
      <c r="V1681" s="1156"/>
      <c r="W1681" s="1156"/>
      <c r="X1681" s="1156"/>
      <c r="Y1681" s="1156"/>
      <c r="Z1681" s="1156"/>
    </row>
    <row r="1682" spans="1:26">
      <c r="A1682" s="1975"/>
      <c r="B1682" s="1977"/>
      <c r="C1682" s="1936" t="str">
        <f>'Part IX A-Scoring Criteria'!C128</f>
        <v>Vision Care</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monthly</v>
      </c>
      <c r="M1682" s="1961">
        <f>'Part IX A-Scoring Criteria'!M128</f>
        <v>0</v>
      </c>
      <c r="N1682" s="1961">
        <f>'Part IX A-Scoring Criteria'!N128</f>
        <v>0</v>
      </c>
      <c r="O1682" s="2095">
        <f>'Part IX A-Scoring Criteria'!O128</f>
        <v>0</v>
      </c>
      <c r="P1682" s="2095">
        <f>'Part IX A-Scoring Criteria'!P128</f>
        <v>0</v>
      </c>
      <c r="Q1682" s="1933" t="str">
        <f>IF(O1682&gt;15, "Too much!","")</f>
        <v/>
      </c>
      <c r="R1682" s="1156"/>
      <c r="S1682" s="1156"/>
      <c r="T1682" s="1156"/>
      <c r="U1682" s="1156"/>
      <c r="V1682" s="1156"/>
      <c r="W1682" s="1156"/>
      <c r="X1682" s="1156"/>
      <c r="Y1682" s="1156"/>
      <c r="Z1682" s="1156"/>
    </row>
    <row r="1683" spans="1:26" ht="15">
      <c r="A1683" s="2040"/>
      <c r="B1683" s="2093"/>
      <c r="C1683" s="478" t="s">
        <v>4803</v>
      </c>
      <c r="D1683" s="478" t="s">
        <v>4032</v>
      </c>
      <c r="E1683" s="478"/>
      <c r="F1683" s="478"/>
      <c r="G1683" s="478"/>
      <c r="H1683" s="2040"/>
      <c r="I1683" s="2040"/>
      <c r="J1683" s="2040"/>
      <c r="K1683" s="2040"/>
      <c r="L1683" s="2040"/>
      <c r="M1683" s="2040"/>
      <c r="N1683" s="1987" t="s">
        <v>3809</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4033</v>
      </c>
      <c r="E1684" s="478"/>
      <c r="F1684" s="478"/>
      <c r="G1684" s="478"/>
      <c r="H1684" s="2040"/>
      <c r="I1684" s="2040"/>
      <c r="J1684" s="2040"/>
      <c r="K1684" s="2040"/>
      <c r="L1684" s="2040"/>
      <c r="M1684" s="1828"/>
      <c r="N1684" s="1977" t="s">
        <v>3810</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4181</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4210</v>
      </c>
      <c r="D1686" s="1975"/>
      <c r="E1686" s="1975"/>
      <c r="F1686" s="1975"/>
      <c r="G1686" s="1942" t="str">
        <f>'Part IX A-Scoring Criteria'!G132</f>
        <v>Yes</v>
      </c>
      <c r="H1686" s="1942">
        <f>'Part IX A-Scoring Criteria'!H132</f>
        <v>0</v>
      </c>
      <c r="I1686" s="1872" t="s">
        <v>4213</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4211</v>
      </c>
      <c r="D1687" s="1975"/>
      <c r="E1687" s="1975"/>
      <c r="F1687" s="1975"/>
      <c r="G1687" s="1942" t="str">
        <f>'Part IX A-Scoring Criteria'!G133</f>
        <v>Yes</v>
      </c>
      <c r="H1687" s="1942">
        <f>'Part IX A-Scoring Criteria'!H133</f>
        <v>0</v>
      </c>
      <c r="I1687" s="478" t="s">
        <v>4214</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4212</v>
      </c>
      <c r="D1688" s="1975"/>
      <c r="E1688" s="1975"/>
      <c r="F1688" s="1975"/>
      <c r="G1688" s="1942" t="str">
        <f>'Part IX A-Scoring Criteria'!G134</f>
        <v>Yes</v>
      </c>
      <c r="H1688" s="1942">
        <f>'Part IX A-Scoring Criteria'!H134</f>
        <v>0</v>
      </c>
      <c r="I1688" s="1872" t="s">
        <v>4215</v>
      </c>
      <c r="J1688" s="1156"/>
      <c r="K1688" s="1156"/>
      <c r="L1688" s="1975"/>
      <c r="M1688" s="1975"/>
      <c r="N1688" s="1975"/>
      <c r="O1688" s="1942">
        <f>'Part IX A-Scoring Criteria'!O134</f>
        <v>0</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Fruit and Vegetable Consumption</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2004</v>
      </c>
      <c r="C1691" s="2077" t="s">
        <v>3847</v>
      </c>
      <c r="D1691" s="1961"/>
      <c r="E1691" s="2073"/>
      <c r="F1691" s="1961"/>
      <c r="G1691" s="1961"/>
      <c r="H1691" s="1961"/>
      <c r="I1691" s="1961"/>
      <c r="J1691" s="1961"/>
      <c r="K1691" s="1961"/>
      <c r="L1691" s="1985" t="str">
        <f>IF(OR($O1691=$M1691,$O1691=0,$O1691=""),"","* * Check Score! * *")</f>
        <v/>
      </c>
      <c r="M1691" s="1323">
        <v>1</v>
      </c>
      <c r="N1691" s="2059" t="s">
        <v>2004</v>
      </c>
      <c r="O1691" s="2021">
        <f>'Part IX A-Scoring Criteria'!O137</f>
        <v>1</v>
      </c>
      <c r="P1691" s="2021">
        <f>'Part IX A-Scoring Criteria'!P137</f>
        <v>0</v>
      </c>
      <c r="Q1691" s="2061" t="str">
        <f>IF(OR($O1691=$M1691,$O1691=0,$O1691=""),"","*CHECK!*")</f>
        <v/>
      </c>
      <c r="R1691" s="2062" t="s">
        <v>2724</v>
      </c>
      <c r="S1691" s="2089"/>
      <c r="T1691" s="2089"/>
      <c r="U1691" s="2089"/>
      <c r="V1691" s="2073"/>
      <c r="W1691" s="2073"/>
      <c r="X1691" s="2073"/>
      <c r="Y1691" s="2073"/>
      <c r="Z1691" s="2073"/>
    </row>
    <row r="1692" spans="1:26" ht="18.75">
      <c r="A1692" s="1975"/>
      <c r="B1692" s="478"/>
      <c r="C1692" s="478" t="s">
        <v>4034</v>
      </c>
      <c r="D1692" s="2005"/>
      <c r="E1692" s="2005"/>
      <c r="F1692" s="2005"/>
      <c r="G1692" s="2005"/>
      <c r="H1692" s="2005"/>
      <c r="I1692" s="2005"/>
      <c r="J1692" s="2005"/>
      <c r="K1692" s="2005"/>
      <c r="L1692" s="2005"/>
      <c r="M1692" s="1934"/>
      <c r="N1692" s="478"/>
      <c r="O1692" s="1942" t="str">
        <f>'Part IX A-Scoring Criteria'!O138</f>
        <v>Agree</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4804</v>
      </c>
      <c r="D1693" s="2005"/>
      <c r="E1693" s="2005"/>
      <c r="F1693" s="2005"/>
      <c r="G1693" s="1872" t="s">
        <v>4036</v>
      </c>
      <c r="H1693" s="478"/>
      <c r="I1693" s="2005"/>
      <c r="J1693" s="2005"/>
      <c r="K1693" s="2005"/>
      <c r="L1693" s="2005"/>
      <c r="M1693" s="1977" t="s">
        <v>2451</v>
      </c>
      <c r="N1693" s="1977" t="s">
        <v>3809</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4037</v>
      </c>
      <c r="H1694" s="478"/>
      <c r="I1694" s="2005"/>
      <c r="J1694" s="2005"/>
      <c r="K1694" s="2005"/>
      <c r="L1694" s="2005"/>
      <c r="M1694" s="1934"/>
      <c r="N1694" s="1987" t="s">
        <v>3810</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4038</v>
      </c>
      <c r="H1695" s="478"/>
      <c r="I1695" s="2005"/>
      <c r="J1695" s="2005"/>
      <c r="K1695" s="2005"/>
      <c r="L1695" s="2005"/>
      <c r="M1695" s="1934"/>
      <c r="N1695" s="1977" t="s">
        <v>3811</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4039</v>
      </c>
      <c r="H1696" s="478"/>
      <c r="I1696" s="2005"/>
      <c r="J1696" s="2005"/>
      <c r="K1696" s="2005"/>
      <c r="L1696" s="2005"/>
      <c r="M1696" s="1934"/>
      <c r="N1696" s="1977" t="s">
        <v>3813</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4040</v>
      </c>
      <c r="H1697" s="478"/>
      <c r="I1697" s="2005"/>
      <c r="J1697" s="2005"/>
      <c r="K1697" s="2005"/>
      <c r="L1697" s="2005"/>
      <c r="M1697" s="1934"/>
      <c r="N1697" s="1987" t="s">
        <v>3814</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4805</v>
      </c>
      <c r="D1698" s="2005"/>
      <c r="E1698" s="2005"/>
      <c r="F1698" s="2005"/>
      <c r="G1698" s="2005"/>
      <c r="H1698" s="2005"/>
      <c r="I1698" s="2005"/>
      <c r="J1698" s="2005"/>
      <c r="K1698" s="2005"/>
      <c r="L1698" s="2005"/>
      <c r="M1698" s="1977"/>
      <c r="N1698" s="1977" t="s">
        <v>2452</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3862</v>
      </c>
      <c r="D1699" s="1156"/>
      <c r="E1699" s="478"/>
      <c r="F1699" s="478"/>
      <c r="G1699" s="1156" t="s">
        <v>4182</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135">
      <c r="A1700" s="1975"/>
      <c r="B1700" s="1977"/>
      <c r="C1700" s="1936" t="str">
        <f>'Part IX A-Scoring Criteria'!C146</f>
        <v>HABESHA Works</v>
      </c>
      <c r="D1700" s="1936">
        <f>'Part IX A-Scoring Criteria'!D146</f>
        <v>0</v>
      </c>
      <c r="E1700" s="1936">
        <f>'Part IX A-Scoring Criteria'!E146</f>
        <v>0</v>
      </c>
      <c r="F1700" s="1936">
        <f>'Part IX A-Scoring Criteria'!F146</f>
        <v>0</v>
      </c>
      <c r="G1700" s="1936" t="str">
        <f>'Part IX A-Scoring Criteria'!G146</f>
        <v>Increasing physical activity, nutritional education &amp; access to healthy food through participation in community garden activities.</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c r="A1701" s="1975"/>
      <c r="B1701" s="1987"/>
      <c r="C1701" s="1936">
        <f>'Part IX A-Scoring Criteria'!C147</f>
        <v>0</v>
      </c>
      <c r="D1701" s="1936">
        <f>'Part IX A-Scoring Criteria'!D147</f>
        <v>0</v>
      </c>
      <c r="E1701" s="1936">
        <f>'Part IX A-Scoring Criteria'!E147</f>
        <v>0</v>
      </c>
      <c r="F1701" s="1936">
        <f>'Part IX A-Scoring Criteria'!F147</f>
        <v>0</v>
      </c>
      <c r="G1701" s="1936">
        <f>'Part IX A-Scoring Criteria'!G147</f>
        <v>0</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4217</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4004</v>
      </c>
      <c r="C1707" s="1939"/>
      <c r="D1707" s="1939"/>
      <c r="E1707" s="1939"/>
      <c r="F1707" s="1939"/>
      <c r="G1707" s="1939"/>
      <c r="H1707" s="1939"/>
      <c r="I1707" s="1939"/>
      <c r="J1707" s="1939"/>
      <c r="K1707" s="1939"/>
      <c r="L1707" s="1939"/>
      <c r="M1707" s="1837">
        <v>5</v>
      </c>
      <c r="N1707" s="2057"/>
      <c r="O1707" s="2021">
        <f>'Part IX A-Scoring Criteria'!O153</f>
        <v>0</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1999</v>
      </c>
      <c r="B1709" s="1818" t="s">
        <v>4044</v>
      </c>
      <c r="C1709" s="2040"/>
      <c r="D1709" s="2087"/>
      <c r="E1709" s="2087"/>
      <c r="F1709" s="2040"/>
      <c r="G1709" s="2087"/>
      <c r="H1709" s="2087"/>
      <c r="I1709" s="2087"/>
      <c r="J1709" s="2087"/>
      <c r="K1709" s="2087"/>
      <c r="L1709" s="2087"/>
      <c r="M1709" s="1828">
        <v>3</v>
      </c>
      <c r="N1709" s="2059"/>
      <c r="O1709" s="1828">
        <f>'Part IX A-Scoring Criteria'!O155</f>
        <v>0</v>
      </c>
      <c r="P1709" s="1828">
        <f>'Part IX A-Scoring Criteria'!P155</f>
        <v>0</v>
      </c>
      <c r="Q1709" s="2040"/>
      <c r="R1709" s="1631"/>
      <c r="S1709" s="2040"/>
      <c r="T1709" s="2040"/>
      <c r="U1709" s="2040"/>
      <c r="V1709" s="2040"/>
      <c r="W1709" s="2040"/>
      <c r="X1709" s="2040"/>
      <c r="Y1709" s="2040"/>
      <c r="Z1709" s="2040"/>
    </row>
    <row r="1710" spans="1:26" ht="15">
      <c r="A1710" s="2022"/>
      <c r="B1710" s="1872" t="s">
        <v>3856</v>
      </c>
      <c r="C1710" s="2010"/>
      <c r="D1710" s="2010"/>
      <c r="E1710" s="2010"/>
      <c r="F1710" s="2010"/>
      <c r="G1710" s="2010"/>
      <c r="H1710" s="2010"/>
      <c r="I1710" s="2010"/>
      <c r="J1710" s="2010"/>
      <c r="K1710" s="2010"/>
      <c r="L1710" s="2010"/>
      <c r="M1710" s="2010"/>
      <c r="N1710" s="2010"/>
      <c r="O1710" s="1942">
        <f>'Part IX A-Scoring Criteria'!O156</f>
        <v>0</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4806</v>
      </c>
      <c r="C1712" s="1936"/>
      <c r="D1712" s="1936"/>
      <c r="E1712" s="478" t="s">
        <v>3853</v>
      </c>
      <c r="F1712" s="2040"/>
      <c r="G1712" s="478"/>
      <c r="H1712" s="2040"/>
      <c r="I1712" s="1901">
        <f>'Part IX A-Scoring Criteria'!I158</f>
        <v>0</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3855</v>
      </c>
      <c r="F1713" s="1985"/>
      <c r="G1713" s="2040"/>
      <c r="H1713" s="2040"/>
      <c r="I1713" s="1872"/>
      <c r="J1713" s="1866"/>
      <c r="K1713" s="1866"/>
      <c r="L1713" s="1866"/>
      <c r="M1713" s="2040"/>
      <c r="N1713" s="1901"/>
      <c r="O1713" s="1942">
        <f>'Part IX A-Scoring Criteria'!O159</f>
        <v>0</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2924</v>
      </c>
      <c r="F1714" s="478" t="str">
        <f>'Part I-Project Information'!$H$78</f>
        <v>Other Non-Senior</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3851</v>
      </c>
      <c r="I1715" s="1901" t="s">
        <v>3897</v>
      </c>
      <c r="J1715" s="1901"/>
      <c r="K1715" s="1901"/>
      <c r="L1715" s="1901"/>
      <c r="M1715" s="1709" t="s">
        <v>3850</v>
      </c>
      <c r="N1715" s="1709"/>
      <c r="O1715" s="1709" t="s">
        <v>3854</v>
      </c>
      <c r="P1715" s="1709"/>
      <c r="Q1715" s="1901"/>
      <c r="R1715" s="2022"/>
      <c r="S1715" s="2022"/>
      <c r="T1715" s="2022"/>
      <c r="U1715" s="2022"/>
      <c r="V1715" s="2022"/>
      <c r="W1715" s="2022"/>
      <c r="X1715" s="2022"/>
      <c r="Y1715" s="2022"/>
      <c r="Z1715" s="2022"/>
    </row>
    <row r="1716" spans="1:26" ht="23.25">
      <c r="A1716" s="1855"/>
      <c r="B1716" s="2100" t="s">
        <v>3848</v>
      </c>
      <c r="C1716" s="1866"/>
      <c r="D1716" s="1631" t="s">
        <v>4807</v>
      </c>
      <c r="E1716" s="1631"/>
      <c r="F1716" s="1631"/>
      <c r="G1716" s="1960" t="s">
        <v>3420</v>
      </c>
      <c r="H1716" s="1944"/>
      <c r="I1716" s="1986">
        <v>2014</v>
      </c>
      <c r="J1716" s="1986">
        <v>2015</v>
      </c>
      <c r="K1716" s="1986">
        <v>2016</v>
      </c>
      <c r="L1716" s="1986">
        <v>2017</v>
      </c>
      <c r="M1716" s="1709"/>
      <c r="N1716" s="1709"/>
      <c r="O1716" s="1709"/>
      <c r="P1716" s="1709"/>
      <c r="Q1716" s="2101" t="s">
        <v>3849</v>
      </c>
      <c r="R1716" s="2101"/>
      <c r="S1716" s="2022"/>
      <c r="T1716" s="2022"/>
      <c r="U1716" s="2022"/>
      <c r="V1716" s="2022"/>
      <c r="W1716" s="2022"/>
      <c r="X1716" s="2022"/>
      <c r="Y1716" s="2022"/>
      <c r="Z1716" s="2022"/>
    </row>
    <row r="1717" spans="1:26" ht="15">
      <c r="A1717" s="1977" t="s">
        <v>2451</v>
      </c>
      <c r="B1717" s="1908" t="s">
        <v>4043</v>
      </c>
      <c r="C1717" s="2022"/>
      <c r="D1717" s="1901">
        <f>'Part IX A-Scoring Criteria'!D163</f>
        <v>0</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0</v>
      </c>
      <c r="K1717" s="2103">
        <f>'Part IX A-Scoring Criteria'!K163</f>
        <v>0</v>
      </c>
      <c r="L1717" s="2103">
        <f>'Part IX A-Scoring Criteria'!L163</f>
        <v>0</v>
      </c>
      <c r="M1717" s="2104" t="str">
        <f>IF(I1717+J1717+K1717+L1717=0,"",AVERAGE(I1717,J1717,K1717,L1717))</f>
        <v/>
      </c>
      <c r="N1717" s="2104"/>
      <c r="O1717" s="1831" t="str">
        <f>IF(M1717="","",IF(M1717&gt;Q1717,"Yes",IF(M1717&lt;Q1717,"No","")))</f>
        <v/>
      </c>
      <c r="P1717" s="2022"/>
      <c r="Q1717" s="1642">
        <v>73.400000000000006</v>
      </c>
      <c r="R1717" s="1642"/>
      <c r="S1717" s="2022"/>
      <c r="T1717" s="2022"/>
      <c r="U1717" s="2022"/>
      <c r="V1717" s="2022"/>
      <c r="W1717" s="2022"/>
      <c r="X1717" s="2022"/>
      <c r="Y1717" s="2022"/>
      <c r="Z1717" s="2022"/>
    </row>
    <row r="1718" spans="1:26" ht="15">
      <c r="A1718" s="1987" t="s">
        <v>2452</v>
      </c>
      <c r="B1718" s="1908" t="s">
        <v>4218</v>
      </c>
      <c r="C1718" s="2022"/>
      <c r="D1718" s="1901">
        <f>'Part IX A-Scoring Criteria'!D164</f>
        <v>0</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0</v>
      </c>
      <c r="K1718" s="2103">
        <f>'Part IX A-Scoring Criteria'!K164</f>
        <v>0</v>
      </c>
      <c r="L1718" s="2103">
        <f>'Part IX A-Scoring Criteria'!L164</f>
        <v>0</v>
      </c>
      <c r="M1718" s="2104" t="str">
        <f>IF(I1718+J1718+K1718+L1718=0,"",AVERAGE(I1718,J1718,K1718,L1718))</f>
        <v/>
      </c>
      <c r="N1718" s="2104"/>
      <c r="O1718" s="1831" t="str">
        <f>IF(M1718="","",IF(M1718&gt;Q1718,"Yes",IF(M1718&lt;Q1718,"No","")))</f>
        <v/>
      </c>
      <c r="P1718" s="2022"/>
      <c r="Q1718" s="1642">
        <v>72.099999999999994</v>
      </c>
      <c r="R1718" s="1642"/>
      <c r="S1718" s="2022"/>
      <c r="T1718" s="2022"/>
      <c r="U1718" s="2022"/>
      <c r="V1718" s="2022"/>
      <c r="W1718" s="2022"/>
      <c r="X1718" s="2022"/>
      <c r="Y1718" s="2022"/>
      <c r="Z1718" s="2022"/>
    </row>
    <row r="1719" spans="1:26" ht="15">
      <c r="A1719" s="1977" t="s">
        <v>2453</v>
      </c>
      <c r="B1719" s="1908" t="s">
        <v>4041</v>
      </c>
      <c r="C1719" s="2022"/>
      <c r="D1719" s="1901">
        <f>'Part IX A-Scoring Criteria'!D165</f>
        <v>0</v>
      </c>
      <c r="E1719" s="1901">
        <f>'Part IX A-Scoring Criteria'!E165</f>
        <v>0</v>
      </c>
      <c r="F1719" s="1901">
        <f>'Part IX A-Scoring Criteria'!F165</f>
        <v>0</v>
      </c>
      <c r="G1719" s="2102">
        <f>'Part IX A-Scoring Criteria'!G165</f>
        <v>0</v>
      </c>
      <c r="H1719" s="1968">
        <f>'Part IX A-Scoring Criteria'!H165</f>
        <v>0</v>
      </c>
      <c r="I1719" s="2103">
        <f>'Part IX A-Scoring Criteria'!I165</f>
        <v>0</v>
      </c>
      <c r="J1719" s="2103">
        <f>'Part IX A-Scoring Criteria'!J165</f>
        <v>0</v>
      </c>
      <c r="K1719" s="2103">
        <f>'Part IX A-Scoring Criteria'!K165</f>
        <v>0</v>
      </c>
      <c r="L1719" s="2103">
        <f>'Part IX A-Scoring Criteria'!L165</f>
        <v>0</v>
      </c>
      <c r="M1719" s="2104" t="str">
        <f>IF(I1719+J1719+K1719+L1719=0,"",AVERAGE(I1719,J1719,K1719,L1719))</f>
        <v/>
      </c>
      <c r="N1719" s="2104"/>
      <c r="O1719" s="1831" t="str">
        <f>IF(M1719="","",IF(M1719&gt;Q1719,"Yes",IF(M1719&lt;Q1719,"No","")))</f>
        <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2454</v>
      </c>
      <c r="B1721" s="2000" t="s">
        <v>4043</v>
      </c>
      <c r="C1721" s="2022"/>
      <c r="D1721" s="2010">
        <f>IF(D1717="","",D1717)</f>
        <v>0</v>
      </c>
      <c r="E1721" s="2022"/>
      <c r="F1721" s="2022"/>
      <c r="G1721" s="1986">
        <f t="shared" ref="G1721:H1723" si="320">IF(G1717="","",G1717)</f>
        <v>0</v>
      </c>
      <c r="H1721" s="1986">
        <f t="shared" si="320"/>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2455</v>
      </c>
      <c r="B1722" s="2000" t="s">
        <v>4042</v>
      </c>
      <c r="C1722" s="2022"/>
      <c r="D1722" s="2010">
        <f>IF(D1718="","",D1718)</f>
        <v>0</v>
      </c>
      <c r="E1722" s="2022"/>
      <c r="F1722" s="2022"/>
      <c r="G1722" s="1986">
        <f t="shared" si="320"/>
        <v>0</v>
      </c>
      <c r="H1722" s="1986">
        <f t="shared" si="320"/>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2471</v>
      </c>
      <c r="B1723" s="2000" t="s">
        <v>4041</v>
      </c>
      <c r="C1723" s="2022"/>
      <c r="D1723" s="2010">
        <f>IF(D1719="","",D1719)</f>
        <v>0</v>
      </c>
      <c r="E1723" s="2022"/>
      <c r="F1723" s="2022"/>
      <c r="G1723" s="1986">
        <f t="shared" si="320"/>
        <v>0</v>
      </c>
      <c r="H1723" s="1986">
        <f t="shared" si="320"/>
        <v>0</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2001</v>
      </c>
      <c r="B1725" s="1818" t="s">
        <v>4045</v>
      </c>
      <c r="C1725" s="2040"/>
      <c r="D1725" s="2087"/>
      <c r="E1725" s="2087"/>
      <c r="F1725" s="2071" t="s">
        <v>3413</v>
      </c>
      <c r="G1725" s="2040"/>
      <c r="H1725" s="1872" t="s">
        <v>3898</v>
      </c>
      <c r="I1725" s="2040"/>
      <c r="J1725" s="2040"/>
      <c r="K1725" s="2040"/>
      <c r="L1725" s="2040"/>
      <c r="M1725" s="1828">
        <v>2</v>
      </c>
      <c r="N1725" s="2059"/>
      <c r="O1725" s="2021">
        <f>'Part IX A-Scoring Criteria'!O171</f>
        <v>0</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4221</v>
      </c>
      <c r="F1726" s="2106" t="s">
        <v>3686</v>
      </c>
      <c r="G1726" s="1832" t="s">
        <v>3421</v>
      </c>
      <c r="H1726" s="1832"/>
      <c r="I1726" s="1832"/>
      <c r="J1726" s="1832"/>
      <c r="K1726" s="1832"/>
      <c r="L1726" s="1832"/>
      <c r="M1726" s="1832"/>
      <c r="N1726" s="1832"/>
      <c r="O1726" s="1156"/>
      <c r="P1726" s="2011"/>
      <c r="Q1726" s="1156"/>
      <c r="R1726" s="1156" t="s">
        <v>2851</v>
      </c>
      <c r="S1726" s="1156"/>
      <c r="T1726" s="1999" t="str">
        <f>'Part I-Project Information'!$F$38</f>
        <v>Atlanta</v>
      </c>
      <c r="U1726" s="1999"/>
      <c r="V1726" s="1999"/>
      <c r="W1726" s="1999"/>
      <c r="X1726" s="1999"/>
      <c r="Y1726" s="1156"/>
      <c r="Z1726" s="1156"/>
    </row>
    <row r="1727" spans="1:26" ht="12.75" customHeight="1">
      <c r="A1727" s="1975"/>
      <c r="B1727" s="2106" t="s">
        <v>4048</v>
      </c>
      <c r="C1727" s="2106"/>
      <c r="D1727" s="2106"/>
      <c r="E1727" s="2106"/>
      <c r="F1727" s="2106"/>
      <c r="G1727" s="1936" t="s">
        <v>4047</v>
      </c>
      <c r="H1727" s="1936"/>
      <c r="I1727" s="1936"/>
      <c r="J1727" s="1936"/>
      <c r="K1727" s="1936"/>
      <c r="L1727" s="1936"/>
      <c r="M1727" s="1936"/>
      <c r="N1727" s="1936"/>
      <c r="O1727" s="2106" t="s">
        <v>3687</v>
      </c>
      <c r="P1727" s="2106"/>
      <c r="Q1727" s="1156"/>
      <c r="R1727" s="1999" t="s">
        <v>2852</v>
      </c>
      <c r="S1727" s="1156"/>
      <c r="T1727" s="1999" t="str">
        <f>'Part I-Project Information'!$J$39</f>
        <v>Fulton</v>
      </c>
      <c r="U1727" s="1999"/>
      <c r="V1727" s="1999"/>
      <c r="W1727" s="1999"/>
      <c r="X1727" s="1999"/>
      <c r="Y1727" s="1156"/>
      <c r="Z1727" s="1156"/>
    </row>
    <row r="1728" spans="1:26">
      <c r="A1728" s="1975"/>
      <c r="B1728" s="478" t="s">
        <v>3857</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2853</v>
      </c>
      <c r="S1728" s="1156"/>
      <c r="T1728" s="1999" t="str">
        <f>'Part I-Project Information'!$O$40</f>
        <v>Atlanta-Sandy Springs-Marietta</v>
      </c>
      <c r="U1728" s="1999"/>
      <c r="V1728" s="1999"/>
      <c r="W1728" s="1999"/>
      <c r="X1728" s="1999"/>
      <c r="Y1728" s="1156"/>
      <c r="Z1728" s="1156"/>
    </row>
    <row r="1729" spans="1:26" ht="12.75" customHeight="1">
      <c r="A1729" s="1975"/>
      <c r="B1729" s="1901" t="s">
        <v>4046</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3891</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3892</v>
      </c>
      <c r="C1731" s="1156"/>
      <c r="D1731" s="1156"/>
      <c r="E1731" s="2110"/>
      <c r="F1731" s="2110"/>
      <c r="G1731" s="2110"/>
      <c r="H1731" s="1156"/>
      <c r="I1731" s="2110">
        <f>'Part IX A-Scoring Criteria'!I177</f>
        <v>0</v>
      </c>
      <c r="J1731" s="2110">
        <f>'Part IX A-Scoring Criteria'!J177</f>
        <v>0</v>
      </c>
      <c r="K1731" s="1156"/>
      <c r="L1731" s="1156"/>
      <c r="M1731" s="1156"/>
      <c r="N1731" s="1156"/>
      <c r="O1731" s="1156"/>
      <c r="P1731" s="1156"/>
      <c r="Q1731" s="1156"/>
      <c r="R1731" s="1156" t="s">
        <v>3652</v>
      </c>
      <c r="S1731" s="1156"/>
      <c r="T1731" s="1999" t="str">
        <f>'Part I-Project Information'!$K$40</f>
        <v>Urban</v>
      </c>
      <c r="U1731" s="1999"/>
      <c r="V1731" s="1999"/>
      <c r="W1731" s="1999"/>
      <c r="X1731" s="1999"/>
      <c r="Y1731" s="1156"/>
      <c r="Z1731" s="1156"/>
    </row>
    <row r="1732" spans="1:26" ht="13.5">
      <c r="A1732" s="2000"/>
      <c r="B1732" s="2010" t="s">
        <v>3651</v>
      </c>
      <c r="C1732" s="1156"/>
      <c r="D1732" s="1156"/>
      <c r="E1732" s="1156"/>
      <c r="F1732" s="1156"/>
      <c r="G1732" s="1156"/>
      <c r="H1732" s="2111" t="str">
        <f>IF(I1732&lt;I1731,"Threshold not met!","")</f>
        <v/>
      </c>
      <c r="I1732" s="2110">
        <f>'Part IX A-Scoring Criteria'!I178</f>
        <v>0</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2002</v>
      </c>
      <c r="C1734" s="478" t="s">
        <v>4220</v>
      </c>
      <c r="D1734" s="1999"/>
      <c r="E1734" s="1999"/>
      <c r="F1734" s="1999"/>
      <c r="G1734" s="1999"/>
      <c r="H1734" s="2112" t="s">
        <v>2002</v>
      </c>
      <c r="I1734" s="1983" t="str">
        <f>'Part IX A-Scoring Criteria'!I180</f>
        <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2004</v>
      </c>
      <c r="C1735" s="478" t="s">
        <v>4049</v>
      </c>
      <c r="D1735" s="2099"/>
      <c r="E1735" s="2099"/>
      <c r="F1735" s="2099"/>
      <c r="G1735" s="1156"/>
      <c r="H1735" s="2112" t="s">
        <v>2004</v>
      </c>
      <c r="I1735" s="2113" t="str">
        <f>'Part IX A-Scoring Criteria'!I181</f>
        <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3915</v>
      </c>
      <c r="D1736" s="2099"/>
      <c r="E1736" s="2099"/>
      <c r="F1736" s="2099"/>
      <c r="G1736" s="2088"/>
      <c r="H1736" s="1156"/>
      <c r="I1736" s="1992">
        <f>'Part IX A-Scoring Criteria'!I182</f>
        <v>0</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3780</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15.75">
      <c r="A1739" s="1936">
        <f>'Part IX A-Scoring Criteria'!A185</f>
        <v>0</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1880</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4055</v>
      </c>
      <c r="C1743" s="2040"/>
      <c r="D1743" s="2041"/>
      <c r="E1743" s="2041"/>
      <c r="F1743" s="2040"/>
      <c r="G1743" s="2040"/>
      <c r="H1743" s="1873" t="s">
        <v>4056</v>
      </c>
      <c r="I1743" s="2114"/>
      <c r="J1743" s="2114"/>
      <c r="K1743" s="1934"/>
      <c r="L1743" s="1934"/>
      <c r="M1743" s="1837">
        <v>7</v>
      </c>
      <c r="N1743" s="1828"/>
      <c r="O1743" s="2021">
        <f>'Part IX A-Scoring Criteria'!O189</f>
        <v>0</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4808</v>
      </c>
      <c r="C1745" s="1844"/>
      <c r="D1745" s="1844"/>
      <c r="E1745" s="1631" t="s">
        <v>4230</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2527</v>
      </c>
      <c r="L1746" s="1986" t="s">
        <v>2527</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2451</v>
      </c>
      <c r="C1747" s="1936" t="s">
        <v>4184</v>
      </c>
      <c r="D1747" s="1936"/>
      <c r="E1747" s="1936"/>
      <c r="F1747" s="1936"/>
      <c r="G1747" s="1936"/>
      <c r="H1747" s="1936"/>
      <c r="I1747" s="1936"/>
      <c r="J1747" s="1987" t="s">
        <v>2451</v>
      </c>
      <c r="K1747" s="1942">
        <f>'Part IX A-Scoring Criteria'!K193</f>
        <v>0</v>
      </c>
      <c r="L1747" s="1942">
        <f>'Part IX A-Scoring Criteria'!L193</f>
        <v>0</v>
      </c>
      <c r="M1747" s="2116" t="str">
        <f>'Part IX A-Scoring Criteria'!M193</f>
        <v>&lt;Enter page nbr(s) from Plan&gt;</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2452</v>
      </c>
      <c r="C1749" s="1936" t="s">
        <v>4809</v>
      </c>
      <c r="D1749" s="1936"/>
      <c r="E1749" s="1936"/>
      <c r="F1749" s="1936"/>
      <c r="G1749" s="1936"/>
      <c r="H1749" s="2022"/>
      <c r="I1749" s="2022"/>
      <c r="J1749" s="1977" t="s">
        <v>2452</v>
      </c>
      <c r="K1749" s="1942">
        <f>'Part IX A-Scoring Criteria'!K195</f>
        <v>0</v>
      </c>
      <c r="L1749" s="1942">
        <f>'Part IX A-Scoring Criteria'!L195</f>
        <v>0</v>
      </c>
      <c r="M1749" s="2116" t="str">
        <f>'Part IX A-Scoring Criteria'!M195</f>
        <v>&lt;Enter page nbr(s) from Plan&gt;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2453</v>
      </c>
      <c r="C1750" s="1961" t="s">
        <v>2843</v>
      </c>
      <c r="D1750" s="1961"/>
      <c r="E1750" s="1961"/>
      <c r="F1750" s="1961"/>
      <c r="G1750" s="1961"/>
      <c r="H1750" s="1961"/>
      <c r="I1750" s="1953"/>
      <c r="J1750" s="1987" t="s">
        <v>2453</v>
      </c>
      <c r="K1750" s="1942">
        <f>'Part IX A-Scoring Criteria'!K196</f>
        <v>0</v>
      </c>
      <c r="L1750" s="1942">
        <f>'Part IX A-Scoring Criteria'!L196</f>
        <v>0</v>
      </c>
      <c r="M1750" s="2116" t="str">
        <f>'Part IX A-Scoring Criteria'!M196</f>
        <v>&lt;Enter page nbr(s) from Plan&gt;</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2454</v>
      </c>
      <c r="C1751" s="2037" t="s">
        <v>4060</v>
      </c>
      <c r="D1751" s="1961"/>
      <c r="E1751" s="1961"/>
      <c r="F1751" s="1961"/>
      <c r="G1751" s="1961"/>
      <c r="H1751" s="1961"/>
      <c r="I1751" s="1953"/>
      <c r="J1751" s="1987" t="s">
        <v>2454</v>
      </c>
      <c r="K1751" s="1942">
        <f>'Part IX A-Scoring Criteria'!K197</f>
        <v>0</v>
      </c>
      <c r="L1751" s="1942">
        <f>'Part IX A-Scoring Criteria'!L197</f>
        <v>0</v>
      </c>
      <c r="M1751" s="2116" t="str">
        <f>'Part IX A-Scoring Criteria'!M197</f>
        <v>&lt;Enter page nbr(s) from Plan&gt;</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4228</v>
      </c>
      <c r="E1752" s="1961"/>
      <c r="F1752" s="1953"/>
      <c r="G1752" s="1953"/>
      <c r="H1752" s="1961"/>
      <c r="I1752" s="1953"/>
      <c r="J1752" s="1987"/>
      <c r="K1752" s="1942">
        <f>'Part IX A-Scoring Criteria'!K198</f>
        <v>0</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2455</v>
      </c>
      <c r="C1753" s="1961" t="s">
        <v>4050</v>
      </c>
      <c r="D1753" s="1961"/>
      <c r="E1753" s="1961"/>
      <c r="F1753" s="1961"/>
      <c r="G1753" s="1961"/>
      <c r="H1753" s="1961"/>
      <c r="I1753" s="1953"/>
      <c r="J1753" s="1987" t="s">
        <v>2455</v>
      </c>
      <c r="K1753" s="1942">
        <f>'Part IX A-Scoring Criteria'!K199</f>
        <v>0</v>
      </c>
      <c r="L1753" s="1942">
        <f>'Part IX A-Scoring Criteria'!L199</f>
        <v>0</v>
      </c>
      <c r="M1753" s="2116" t="str">
        <f>'Part IX A-Scoring Criteria'!M199</f>
        <v>&lt;Enter page nbr(s) from Plan&gt;</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2471</v>
      </c>
      <c r="C1754" s="1961" t="s">
        <v>2844</v>
      </c>
      <c r="D1754" s="1961"/>
      <c r="E1754" s="1961"/>
      <c r="F1754" s="1961"/>
      <c r="G1754" s="1961"/>
      <c r="H1754" s="1953"/>
      <c r="I1754" s="1953"/>
      <c r="J1754" s="1987" t="s">
        <v>2471</v>
      </c>
      <c r="K1754" s="1942">
        <f>'Part IX A-Scoring Criteria'!K200</f>
        <v>0</v>
      </c>
      <c r="L1754" s="1942">
        <f>'Part IX A-Scoring Criteria'!L200</f>
        <v>0</v>
      </c>
      <c r="M1754" s="2116" t="str">
        <f>'Part IX A-Scoring Criteria'!M200</f>
        <v>&lt;Enter page nbr(s) from Plan&gt;</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2472</v>
      </c>
      <c r="C1755" s="1961" t="s">
        <v>4051</v>
      </c>
      <c r="D1755" s="1961"/>
      <c r="E1755" s="1961"/>
      <c r="F1755" s="1961"/>
      <c r="G1755" s="1953"/>
      <c r="H1755" s="1953"/>
      <c r="I1755" s="1953"/>
      <c r="J1755" s="1987" t="s">
        <v>2472</v>
      </c>
      <c r="K1755" s="1942">
        <f>'Part IX A-Scoring Criteria'!K201</f>
        <v>0</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4052</v>
      </c>
      <c r="E1756" s="1961"/>
      <c r="F1756" s="2118">
        <f>'Part IX A-Scoring Criteria'!F202</f>
        <v>0</v>
      </c>
      <c r="G1756" s="2118">
        <f>'Part IX A-Scoring Criteria'!G202</f>
        <v>0</v>
      </c>
      <c r="H1756" s="1953"/>
      <c r="I1756" s="1961" t="s">
        <v>4053</v>
      </c>
      <c r="J1756" s="1953"/>
      <c r="K1756" s="2118">
        <f>'Part IX A-Scoring Criteria'!K202</f>
        <v>0</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2473</v>
      </c>
      <c r="C1757" s="1961" t="s">
        <v>4810</v>
      </c>
      <c r="D1757" s="1961"/>
      <c r="E1757" s="1961"/>
      <c r="F1757" s="1961"/>
      <c r="G1757" s="1953"/>
      <c r="H1757" s="1953"/>
      <c r="I1757" s="1953"/>
      <c r="J1757" s="1987" t="s">
        <v>2473</v>
      </c>
      <c r="K1757" s="1942">
        <f>'Part IX A-Scoring Criteria'!K203</f>
        <v>0</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c r="B1759" s="1969" t="s">
        <v>4185</v>
      </c>
      <c r="E1759" s="1629"/>
      <c r="G1759" s="2084">
        <f>'Part IX A-Scoring Criteria'!G205</f>
        <v>0</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1999</v>
      </c>
      <c r="B1761" s="1844" t="s">
        <v>4054</v>
      </c>
      <c r="M1761" s="1828">
        <v>5</v>
      </c>
      <c r="N1761" s="1975" t="s">
        <v>1999</v>
      </c>
      <c r="O1761" s="2119">
        <f>'Part IX A-Scoring Criteria'!O207</f>
        <v>0</v>
      </c>
      <c r="P1761" s="2119">
        <f>'Part IX A-Scoring Criteria'!P207</f>
        <v>0</v>
      </c>
      <c r="Q1761" s="1681"/>
      <c r="X1761" s="1826"/>
      <c r="Y1761" s="1977"/>
    </row>
    <row r="1762" spans="1:26" ht="12.75" customHeight="1">
      <c r="A1762" s="1975"/>
      <c r="B1762" s="2098" t="s">
        <v>2002</v>
      </c>
      <c r="C1762" s="1936" t="s">
        <v>4811</v>
      </c>
      <c r="D1762" s="1936"/>
      <c r="E1762" s="1936"/>
      <c r="F1762" s="1936"/>
      <c r="G1762" s="1936"/>
      <c r="H1762" s="1936"/>
      <c r="I1762" s="1936"/>
      <c r="J1762" s="1936"/>
      <c r="K1762" s="1936"/>
      <c r="L1762" s="1985" t="str">
        <f>IF(OR($O1762=$M1762,$O1762=0,$O1762=""),"","* * Check Score! * *")</f>
        <v/>
      </c>
      <c r="M1762" s="1991">
        <v>3</v>
      </c>
      <c r="N1762" s="2067" t="s">
        <v>2002</v>
      </c>
      <c r="O1762" s="2060">
        <f>'Part IX A-Scoring Criteria'!O208</f>
        <v>0</v>
      </c>
      <c r="P1762" s="2060">
        <f>'Part IX A-Scoring Criteria'!P208</f>
        <v>0</v>
      </c>
      <c r="Q1762" s="2061" t="str">
        <f>IF(OR($O1762=$M1762,$O1762=0,$O1762=""),"","*CHECK!*")</f>
        <v/>
      </c>
      <c r="R1762" s="1626" t="s">
        <v>2724</v>
      </c>
    </row>
    <row r="1763" spans="1:26" ht="12.75" customHeight="1">
      <c r="A1763" s="1975"/>
      <c r="B1763" s="2098" t="s">
        <v>2004</v>
      </c>
      <c r="C1763" s="2011" t="s">
        <v>4812</v>
      </c>
      <c r="D1763" s="2011"/>
      <c r="E1763" s="2011"/>
      <c r="F1763" s="2011"/>
      <c r="G1763" s="2011"/>
      <c r="H1763" s="2011"/>
      <c r="I1763" s="2011"/>
      <c r="J1763" s="2011"/>
      <c r="K1763" s="2011"/>
      <c r="L1763" s="1985" t="str">
        <f>IF(OR($O1763=$M1763,$O1763=0,$O1763=""),"","* * Check Score! * *")</f>
        <v/>
      </c>
      <c r="M1763" s="1991">
        <v>2</v>
      </c>
      <c r="N1763" s="2067" t="s">
        <v>2004</v>
      </c>
      <c r="O1763" s="2060">
        <f>'Part IX A-Scoring Criteria'!O209</f>
        <v>0</v>
      </c>
      <c r="P1763" s="2060">
        <f>'Part IX A-Scoring Criteria'!P209</f>
        <v>0</v>
      </c>
      <c r="Q1763" s="2061" t="str">
        <f>IF(OR($O1763=$M1763,$O1763=0,$O1763=""),"","*CHECK!*")</f>
        <v/>
      </c>
      <c r="R1763" s="1626" t="s">
        <v>2724</v>
      </c>
    </row>
    <row r="1764" spans="1:26">
      <c r="A1764" s="1975"/>
      <c r="B1764" s="2010"/>
      <c r="C1764" s="2010" t="s">
        <v>3806</v>
      </c>
      <c r="E1764" s="2010" t="str">
        <f>'Part I-Project Information'!$N$39</f>
        <v>Yes</v>
      </c>
      <c r="G1764" s="2010" t="s">
        <v>3600</v>
      </c>
      <c r="I1764" s="2120" t="str">
        <f>'Part I-Project Information'!$O$38</f>
        <v>84.00</v>
      </c>
      <c r="J1764" s="2120"/>
      <c r="K1764" s="1872" t="s">
        <v>3397</v>
      </c>
      <c r="M1764" s="1872" t="str">
        <f>'Part IV-A-Uses of Funds'!$H$152</f>
        <v>DDA/QCT</v>
      </c>
    </row>
    <row r="1765" spans="1:26">
      <c r="A1765" s="1975"/>
      <c r="B1765" s="2010"/>
      <c r="D1765" s="1986"/>
      <c r="E1765" s="2010"/>
      <c r="G1765" s="1872"/>
      <c r="K1765" s="1872"/>
      <c r="L1765" s="1872"/>
    </row>
    <row r="1766" spans="1:26">
      <c r="A1766" s="1855" t="s">
        <v>2001</v>
      </c>
      <c r="B1766" s="1844" t="s">
        <v>4057</v>
      </c>
      <c r="D1766" s="1629"/>
      <c r="K1766" s="1860"/>
      <c r="L1766" s="1985" t="str">
        <f>IF(OR($O1766=$M1766,$O1766=0,$O1766=""),"","* * Check Score! * *")</f>
        <v/>
      </c>
      <c r="M1766" s="1828">
        <v>2</v>
      </c>
      <c r="N1766" s="1975" t="s">
        <v>2001</v>
      </c>
      <c r="O1766" s="2021">
        <f>'Part IX A-Scoring Criteria'!O212</f>
        <v>0</v>
      </c>
      <c r="P1766" s="2021">
        <f>'Part IX A-Scoring Criteria'!P212</f>
        <v>0</v>
      </c>
      <c r="Q1766" s="2061" t="str">
        <f>IF(OR($O1766=$M1766,$O1766=0,$O1766=""),"","*CHECK!*")</f>
        <v/>
      </c>
      <c r="R1766" s="1626" t="s">
        <v>2724</v>
      </c>
    </row>
    <row r="1767" spans="1:26" ht="18.75">
      <c r="A1767" s="1855"/>
      <c r="B1767" s="478" t="s">
        <v>2812</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3888</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3889</v>
      </c>
      <c r="C1769" s="2022"/>
      <c r="D1769" s="2022"/>
      <c r="E1769" s="2022"/>
      <c r="F1769" s="2022"/>
      <c r="G1769" s="2022"/>
      <c r="H1769" s="2022"/>
      <c r="I1769" s="2111" t="str">
        <f>IF($J$215="Government", "Additional documentation required - see QAP.","")</f>
        <v/>
      </c>
      <c r="J1769" s="1999" t="str">
        <f>'Part IX A-Scoring Criteria'!J215</f>
        <v>&lt;Select unrelated 3rd party type&gt;</v>
      </c>
      <c r="K1769" s="1999">
        <f>'Part IX A-Scoring Criteria'!K215</f>
        <v>0</v>
      </c>
      <c r="L1769" s="1999">
        <f>'Part IX A-Scoring Criteria'!L215</f>
        <v>0</v>
      </c>
      <c r="M1769" s="1961" t="s">
        <v>3650</v>
      </c>
      <c r="N1769" s="2022"/>
      <c r="O1769" s="2022"/>
      <c r="P1769" s="2022"/>
      <c r="Q1769" s="2022"/>
      <c r="R1769" s="2022"/>
      <c r="S1769" s="2022"/>
      <c r="T1769" s="2022"/>
      <c r="U1769" s="2022"/>
      <c r="V1769" s="2089"/>
      <c r="W1769" s="2089"/>
      <c r="X1769" s="2022"/>
      <c r="Y1769" s="2022"/>
      <c r="Z1769" s="2022"/>
    </row>
    <row r="1770" spans="1:26" ht="18.75">
      <c r="A1770" s="1915"/>
      <c r="B1770" s="2010" t="s">
        <v>4244</v>
      </c>
      <c r="F1770" s="1953"/>
      <c r="G1770" s="1953"/>
      <c r="H1770" s="1953"/>
      <c r="L1770" s="1969">
        <f>'Part IX A-Scoring Criteria'!L216</f>
        <v>0</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3817</v>
      </c>
      <c r="G1771" s="1961"/>
      <c r="J1771" s="2122">
        <f>'Part IX A-Scoring Criteria'!J217</f>
        <v>0</v>
      </c>
      <c r="K1771" s="2123" t="s">
        <v>3816</v>
      </c>
      <c r="L1771" s="1953"/>
      <c r="N1771" s="1824"/>
      <c r="O1771" s="1826"/>
      <c r="P1771" s="1826"/>
      <c r="V1771" s="2089"/>
      <c r="W1771" s="2089"/>
    </row>
    <row r="1772" spans="1:26" ht="18.75" customHeight="1">
      <c r="A1772" s="2124" t="s">
        <v>4225</v>
      </c>
      <c r="B1772" s="1936" t="s">
        <v>4222</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4223</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4224</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3477</v>
      </c>
      <c r="G1775" s="478" t="s">
        <v>2646</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4548</v>
      </c>
      <c r="D1776" s="1939"/>
      <c r="E1776" s="2022"/>
      <c r="F1776" s="2022"/>
      <c r="G1776" s="2126">
        <f>'Part IV-A-Uses of Funds'!$G$132</f>
        <v>15349522</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3780</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15.75">
      <c r="A1778" s="1936">
        <f>'Part IX A-Scoring Criteria'!A224</f>
        <v>0</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1880</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4058</v>
      </c>
      <c r="C1782" s="1939"/>
      <c r="D1782" s="1939"/>
      <c r="E1782" s="1939"/>
      <c r="F1782" s="1939"/>
      <c r="G1782" s="1939"/>
      <c r="H1782" s="1939"/>
      <c r="I1782" s="1939"/>
      <c r="J1782" s="1939"/>
      <c r="K1782" s="1968" t="s">
        <v>3267</v>
      </c>
      <c r="L1782" s="1968" t="s">
        <v>258</v>
      </c>
      <c r="M1782" s="1837">
        <v>3</v>
      </c>
      <c r="N1782" s="2057"/>
      <c r="O1782" s="2028"/>
      <c r="P1782" s="2021">
        <f>'Part IX A-Scoring Criteria'!P228</f>
        <v>0</v>
      </c>
      <c r="Q1782" s="1837" t="s">
        <v>443</v>
      </c>
      <c r="R1782" s="1626" t="s">
        <v>2724</v>
      </c>
      <c r="S1782" s="2022"/>
      <c r="T1782" s="2022"/>
      <c r="U1782" s="2022"/>
      <c r="V1782" s="2022"/>
      <c r="W1782" s="2022"/>
      <c r="X1782" s="2022"/>
      <c r="Y1782" s="2022"/>
      <c r="Z1782" s="2022"/>
    </row>
    <row r="1783" spans="1:26" ht="15">
      <c r="A1783" s="1855"/>
      <c r="B1783" s="1969" t="s">
        <v>4061</v>
      </c>
      <c r="C1783" s="2022"/>
      <c r="D1783" s="1156" t="s">
        <v>4062</v>
      </c>
      <c r="E1783" s="2022"/>
      <c r="F1783" s="2022"/>
      <c r="G1783" s="2022"/>
      <c r="H1783" s="2022"/>
      <c r="I1783" s="2022"/>
      <c r="J1783" s="2022"/>
      <c r="K1783" s="2119">
        <f>'Part IX A-Scoring Criteria'!K229</f>
        <v>0</v>
      </c>
      <c r="L1783" s="2119">
        <f>'Part IX A-Scoring Criteria'!L229</f>
        <v>0</v>
      </c>
      <c r="M1783" s="2022"/>
      <c r="N1783" s="1977" t="s">
        <v>2451</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4063</v>
      </c>
      <c r="E1784" s="2022"/>
      <c r="F1784" s="2022"/>
      <c r="G1784" s="2022"/>
      <c r="H1784" s="2022"/>
      <c r="I1784" s="2022"/>
      <c r="J1784" s="2022"/>
      <c r="K1784" s="2119">
        <f>'Part IX A-Scoring Criteria'!K230</f>
        <v>3</v>
      </c>
      <c r="L1784" s="2119">
        <f>'Part IX A-Scoring Criteria'!L230</f>
        <v>0</v>
      </c>
      <c r="M1784" s="2022"/>
      <c r="N1784" s="1977" t="s">
        <v>2452</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4064</v>
      </c>
      <c r="E1785" s="2022"/>
      <c r="F1785" s="2022"/>
      <c r="G1785" s="2022"/>
      <c r="H1785" s="2022"/>
      <c r="I1785" s="2022"/>
      <c r="J1785" s="2022"/>
      <c r="K1785" s="2022"/>
      <c r="L1785" s="2022"/>
      <c r="M1785" s="2022"/>
      <c r="N1785" s="1977" t="s">
        <v>2453</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4065</v>
      </c>
      <c r="E1786" s="2022"/>
      <c r="F1786" s="2022"/>
      <c r="G1786" s="2022"/>
      <c r="H1786" s="2022"/>
      <c r="I1786" s="2022"/>
      <c r="J1786" s="2022"/>
      <c r="K1786" s="2022"/>
      <c r="L1786" s="2022"/>
      <c r="M1786" s="2022"/>
      <c r="N1786" s="1977" t="s">
        <v>2454</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4066</v>
      </c>
      <c r="E1787" s="2022"/>
      <c r="F1787" s="2022"/>
      <c r="G1787" s="2022"/>
      <c r="H1787" s="2022"/>
      <c r="I1787" s="2022"/>
      <c r="J1787" s="2022"/>
      <c r="K1787" s="2022"/>
      <c r="L1787" s="2022"/>
      <c r="M1787" s="2022"/>
      <c r="N1787" s="1977" t="s">
        <v>2455</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1999</v>
      </c>
      <c r="B1789" s="1844" t="s">
        <v>4813</v>
      </c>
      <c r="D1789" s="1629"/>
      <c r="G1789" s="2010" t="s">
        <v>3812</v>
      </c>
      <c r="Q1789" s="1681"/>
    </row>
    <row r="1790" spans="1:26">
      <c r="A1790" s="1975"/>
      <c r="B1790" s="478" t="s">
        <v>3893</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2210</v>
      </c>
      <c r="C1791" s="1629"/>
      <c r="D1791" s="478">
        <f>'Part IX A-Scoring Criteria'!D237</f>
        <v>0</v>
      </c>
      <c r="E1791" s="478">
        <f>'Part IX A-Scoring Criteria'!E237</f>
        <v>0</v>
      </c>
      <c r="F1791" s="478">
        <f>'Part IX A-Scoring Criteria'!F237</f>
        <v>0</v>
      </c>
      <c r="G1791" s="478" t="s">
        <v>1734</v>
      </c>
      <c r="H1791" s="2128">
        <f>'Part IX A-Scoring Criteria'!H237</f>
        <v>0</v>
      </c>
      <c r="I1791" s="1872"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2002</v>
      </c>
      <c r="C1793" s="1932" t="s">
        <v>4067</v>
      </c>
      <c r="D1793" s="1961"/>
      <c r="E1793" s="1961"/>
      <c r="F1793" s="1961"/>
      <c r="G1793" s="1961"/>
      <c r="H1793" s="1961"/>
      <c r="I1793" s="1961"/>
      <c r="J1793" s="1961"/>
      <c r="K1793" s="1961"/>
      <c r="L1793" s="1961"/>
      <c r="M1793" s="1961"/>
      <c r="N1793" s="1961"/>
      <c r="O1793" s="1934" t="s">
        <v>2527</v>
      </c>
      <c r="P1793" s="1934" t="s">
        <v>2527</v>
      </c>
      <c r="Q1793" s="1961"/>
    </row>
    <row r="1794" spans="1:26" ht="18.75" customHeight="1">
      <c r="A1794" s="1934"/>
      <c r="B1794" s="1996"/>
      <c r="C1794" s="1901" t="s">
        <v>4814</v>
      </c>
      <c r="D1794" s="1901"/>
      <c r="E1794" s="1901"/>
      <c r="F1794" s="1901"/>
      <c r="G1794" s="1901"/>
      <c r="H1794" s="1901"/>
      <c r="I1794" s="1901"/>
      <c r="J1794" s="1901"/>
      <c r="K1794" s="1901"/>
      <c r="L1794" s="1901"/>
      <c r="M1794" s="1629"/>
      <c r="N1794" s="2048" t="s">
        <v>2002</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4071</v>
      </c>
      <c r="P1795" s="1792"/>
      <c r="Q1795" s="1961"/>
      <c r="S1795" s="1629"/>
      <c r="T1795" s="1629"/>
      <c r="U1795" s="1629"/>
      <c r="V1795" s="2089"/>
      <c r="W1795" s="2089"/>
      <c r="X1795" s="1629"/>
      <c r="Y1795" s="1629"/>
      <c r="Z1795" s="1629"/>
    </row>
    <row r="1796" spans="1:26" ht="18.75">
      <c r="A1796" s="1975"/>
      <c r="B1796" s="1629"/>
      <c r="C1796" s="478" t="s">
        <v>2210</v>
      </c>
      <c r="D1796" s="478">
        <f>'Part IX A-Scoring Criteria'!D242</f>
        <v>0</v>
      </c>
      <c r="E1796" s="478">
        <f>'Part IX A-Scoring Criteria'!E242</f>
        <v>0</v>
      </c>
      <c r="F1796" s="478">
        <f>'Part IX A-Scoring Criteria'!F242</f>
        <v>0</v>
      </c>
      <c r="G1796" s="478" t="s">
        <v>1734</v>
      </c>
      <c r="H1796" s="2128">
        <f>'Part IX A-Scoring Criteria'!H242</f>
        <v>0</v>
      </c>
      <c r="I1796" s="1872"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4071</v>
      </c>
      <c r="P1797" s="1792"/>
      <c r="Q1797" s="1961"/>
      <c r="S1797" s="1629"/>
      <c r="T1797" s="1629"/>
      <c r="U1797" s="1629"/>
      <c r="V1797" s="2089"/>
      <c r="W1797" s="2089"/>
      <c r="X1797" s="1629"/>
      <c r="Y1797" s="1629"/>
      <c r="Z1797" s="1629"/>
    </row>
    <row r="1798" spans="1:26" ht="18.75">
      <c r="A1798" s="1975"/>
      <c r="B1798" s="1629"/>
      <c r="C1798" s="478" t="s">
        <v>2210</v>
      </c>
      <c r="D1798" s="478">
        <f>'Part IX A-Scoring Criteria'!D244</f>
        <v>0</v>
      </c>
      <c r="E1798" s="478">
        <f>'Part IX A-Scoring Criteria'!E244</f>
        <v>0</v>
      </c>
      <c r="F1798" s="478">
        <f>'Part IX A-Scoring Criteria'!F244</f>
        <v>0</v>
      </c>
      <c r="G1798" s="478" t="s">
        <v>1734</v>
      </c>
      <c r="H1798" s="2128">
        <f>'Part IX A-Scoring Criteria'!H244</f>
        <v>0</v>
      </c>
      <c r="I1798" s="1872"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2004</v>
      </c>
      <c r="C1799" s="1932" t="s">
        <v>4072</v>
      </c>
      <c r="D1799" s="1961"/>
      <c r="E1799" s="1961"/>
      <c r="F1799" s="1961"/>
      <c r="G1799" s="2010" t="s">
        <v>3812</v>
      </c>
      <c r="H1799" s="1961"/>
      <c r="I1799" s="1961"/>
      <c r="J1799" s="1961"/>
      <c r="K1799" s="1961"/>
      <c r="L1799" s="1961"/>
      <c r="M1799" s="1961"/>
      <c r="N1799" s="1961"/>
      <c r="O1799" s="1934" t="s">
        <v>2527</v>
      </c>
      <c r="P1799" s="1934" t="s">
        <v>2527</v>
      </c>
      <c r="Q1799" s="1961"/>
    </row>
    <row r="1800" spans="1:26" ht="18.75" customHeight="1">
      <c r="A1800" s="1975"/>
      <c r="B1800" s="2129"/>
      <c r="C1800" s="1936" t="s">
        <v>4815</v>
      </c>
      <c r="D1800" s="1936"/>
      <c r="E1800" s="1936"/>
      <c r="F1800" s="1936"/>
      <c r="G1800" s="1936"/>
      <c r="H1800" s="1936"/>
      <c r="I1800" s="1936"/>
      <c r="J1800" s="1936"/>
      <c r="K1800" s="1936"/>
      <c r="L1800" s="1936"/>
      <c r="M1800" s="1936"/>
      <c r="N1800" s="2048" t="s">
        <v>2004</v>
      </c>
      <c r="O1800" s="1988">
        <f>'Part IX A-Scoring Criteria'!O246</f>
        <v>0</v>
      </c>
      <c r="P1800" s="1988">
        <f>'Part IX A-Scoring Criteria'!P246</f>
        <v>0</v>
      </c>
      <c r="Q1800" s="1990"/>
      <c r="V1800" s="2089"/>
      <c r="W1800" s="2089"/>
    </row>
    <row r="1801" spans="1:26" ht="18.75">
      <c r="A1801" s="1975"/>
      <c r="B1801" s="1977" t="s">
        <v>2451</v>
      </c>
      <c r="C1801" s="1996" t="s">
        <v>4188</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2452</v>
      </c>
      <c r="C1805" s="1996" t="s">
        <v>4186</v>
      </c>
      <c r="D1805" s="1939"/>
      <c r="E1805" s="1939"/>
      <c r="F1805" s="1939"/>
      <c r="G1805" s="1939"/>
      <c r="H1805" s="1939"/>
      <c r="I1805" s="1939"/>
      <c r="J1805" s="1939"/>
      <c r="K1805" s="1939"/>
      <c r="L1805" s="1936" t="s">
        <v>4190</v>
      </c>
      <c r="M1805" s="1936"/>
      <c r="N1805" s="1961" t="s">
        <v>4191</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2551</v>
      </c>
      <c r="C1809" s="1932" t="s">
        <v>4073</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4077</v>
      </c>
      <c r="D1810" s="1901"/>
      <c r="E1810" s="1901"/>
      <c r="F1810" s="1901"/>
      <c r="G1810" s="1901"/>
      <c r="H1810" s="1901"/>
      <c r="I1810" s="1901"/>
      <c r="J1810" s="1901"/>
      <c r="K1810" s="1901"/>
      <c r="L1810" s="1901"/>
      <c r="M1810" s="1901"/>
      <c r="N1810" s="2048" t="s">
        <v>2551</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3815</v>
      </c>
      <c r="D1811" s="1629"/>
      <c r="Q1811" s="1828"/>
    </row>
    <row r="1812" spans="1:26" ht="18.75" customHeight="1">
      <c r="A1812" s="1975"/>
      <c r="B1812" s="2130"/>
      <c r="C1812" s="1936" t="s">
        <v>4079</v>
      </c>
      <c r="D1812" s="1936"/>
      <c r="E1812" s="1936"/>
      <c r="F1812" s="1936"/>
      <c r="G1812" s="1936"/>
      <c r="H1812" s="1936"/>
      <c r="I1812" s="1936"/>
      <c r="J1812" s="1936"/>
      <c r="K1812" s="1936"/>
      <c r="L1812" s="1936"/>
      <c r="M1812" s="1936"/>
      <c r="N1812" s="2048" t="s">
        <v>1236</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2451</v>
      </c>
      <c r="C1813" s="1901" t="s">
        <v>4080</v>
      </c>
      <c r="D1813" s="1901"/>
      <c r="E1813" s="1901"/>
      <c r="F1813" s="1901"/>
      <c r="G1813" s="1901"/>
      <c r="H1813" s="1901"/>
      <c r="I1813" s="1901"/>
      <c r="J1813" s="1901"/>
      <c r="K1813" s="1901"/>
      <c r="L1813" s="1901"/>
      <c r="M1813" s="1901"/>
      <c r="N1813" s="1977" t="s">
        <v>2451</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2452</v>
      </c>
      <c r="C1814" s="1901" t="s">
        <v>4081</v>
      </c>
      <c r="D1814" s="1901"/>
      <c r="E1814" s="1901"/>
      <c r="F1814" s="1901"/>
      <c r="G1814" s="1901"/>
      <c r="H1814" s="1901"/>
      <c r="I1814" s="1901"/>
      <c r="J1814" s="1901"/>
      <c r="K1814" s="1901"/>
      <c r="L1814" s="1901"/>
      <c r="M1814" s="1901"/>
      <c r="N1814" s="1977" t="s">
        <v>2452</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2001</v>
      </c>
      <c r="B1816" s="1844" t="s">
        <v>4816</v>
      </c>
      <c r="D1816" s="1629"/>
      <c r="G1816" s="2010" t="s">
        <v>3812</v>
      </c>
      <c r="O1816" s="1934" t="s">
        <v>2527</v>
      </c>
      <c r="P1816" s="1934" t="s">
        <v>2527</v>
      </c>
      <c r="Q1816" s="1681"/>
    </row>
    <row r="1817" spans="1:26" ht="18.75" customHeight="1">
      <c r="A1817" s="1975"/>
      <c r="B1817" s="2098" t="s">
        <v>2002</v>
      </c>
      <c r="C1817" s="1936" t="s">
        <v>4075</v>
      </c>
      <c r="D1817" s="1936"/>
      <c r="E1817" s="1936"/>
      <c r="F1817" s="1936"/>
      <c r="G1817" s="1936"/>
      <c r="H1817" s="1936"/>
      <c r="I1817" s="1936"/>
      <c r="J1817" s="1936"/>
      <c r="K1817" s="1936"/>
      <c r="L1817" s="1936"/>
      <c r="M1817" s="2132" t="s">
        <v>2001</v>
      </c>
      <c r="N1817" s="2048" t="s">
        <v>2002</v>
      </c>
      <c r="O1817" s="1988">
        <f>'Part IX A-Scoring Criteria'!O263</f>
        <v>0</v>
      </c>
      <c r="P1817" s="1988">
        <f>'Part IX A-Scoring Criteria'!P263</f>
        <v>0</v>
      </c>
      <c r="Q1817" s="1681"/>
      <c r="V1817" s="2089"/>
      <c r="W1817" s="2089"/>
    </row>
    <row r="1818" spans="1:26" ht="18.75">
      <c r="A1818" s="1975"/>
      <c r="B1818" s="2098" t="s">
        <v>2004</v>
      </c>
      <c r="C1818" s="1872" t="s">
        <v>4076</v>
      </c>
      <c r="D1818" s="1901"/>
      <c r="E1818" s="1901"/>
      <c r="F1818" s="1901"/>
      <c r="G1818" s="1901"/>
      <c r="H1818" s="1901"/>
      <c r="I1818" s="1901"/>
      <c r="J1818" s="1901"/>
      <c r="K1818" s="1901"/>
      <c r="L1818" s="1901"/>
      <c r="M1818" s="1901"/>
      <c r="N1818" s="2048" t="s">
        <v>2004</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3780</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15.75">
      <c r="A1820" s="1707">
        <f>'Part IX A-Scoring Criteria'!A266</f>
        <v>0</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1880</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2804</v>
      </c>
      <c r="C1824" s="2040"/>
      <c r="D1824" s="2041"/>
      <c r="E1824" s="2041"/>
      <c r="F1824" s="2040"/>
      <c r="G1824" s="2040"/>
      <c r="H1824" s="1631" t="s">
        <v>4232</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3626</v>
      </c>
      <c r="B1826" s="1844" t="s">
        <v>3624</v>
      </c>
      <c r="C1826" s="2040"/>
      <c r="D1826" s="2041"/>
      <c r="E1826" s="2041"/>
      <c r="F1826" s="2040"/>
      <c r="G1826" s="2040"/>
      <c r="H1826" s="1631"/>
      <c r="I1826" s="2040"/>
      <c r="J1826" s="2040"/>
      <c r="K1826" s="2040"/>
      <c r="L1826" s="2040"/>
      <c r="M1826" s="1828">
        <v>3</v>
      </c>
      <c r="N1826" s="2084" t="s">
        <v>4085</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2812</v>
      </c>
      <c r="C1827" s="1330"/>
      <c r="D1827" s="1330"/>
      <c r="H1827" s="1844" t="str">
        <f>'Part I-Project Information'!$H$100</f>
        <v>Flexible</v>
      </c>
      <c r="N1827" s="2084"/>
      <c r="O1827" s="1986" t="s">
        <v>2527</v>
      </c>
      <c r="P1827" s="1986" t="s">
        <v>2527</v>
      </c>
    </row>
    <row r="1828" spans="1:26" ht="12.75" customHeight="1">
      <c r="A1828" s="2134"/>
      <c r="B1828" s="2093" t="s">
        <v>2002</v>
      </c>
      <c r="C1828" s="1156" t="s">
        <v>2702</v>
      </c>
      <c r="M1828" s="1824"/>
      <c r="N1828" s="2084"/>
      <c r="O1828" s="1942">
        <f>'Part IX A-Scoring Criteria'!O274</f>
        <v>0</v>
      </c>
      <c r="P1828" s="1942">
        <f>'Part IX A-Scoring Criteria'!P274</f>
        <v>0</v>
      </c>
      <c r="Q1828" s="2135" t="str">
        <f>IF(AND(O1828="Yes",O1831="Yes"),"Only 1 or 4 can be 'Yes'!","")</f>
        <v/>
      </c>
      <c r="R1828" s="2135"/>
    </row>
    <row r="1829" spans="1:26" ht="12.75" customHeight="1">
      <c r="B1829" s="2093" t="s">
        <v>2004</v>
      </c>
      <c r="C1829" s="1156" t="s">
        <v>2757</v>
      </c>
      <c r="G1829" s="1156" t="s">
        <v>2405</v>
      </c>
      <c r="H1829" s="2136" t="str">
        <f>'Part IX A-Scoring Criteria'!H275</f>
        <v>&lt; Select &gt;</v>
      </c>
      <c r="I1829" s="1156" t="s">
        <v>2758</v>
      </c>
      <c r="L1829" s="478" t="s">
        <v>2756</v>
      </c>
      <c r="M1829" s="1933" t="str">
        <f>IF(O1829&gt;H1829,"CHECK ACTUAL PERCENT!!!","")</f>
        <v/>
      </c>
      <c r="N1829" s="2059" t="s">
        <v>2004</v>
      </c>
      <c r="O1829" s="2137">
        <f>'Part IX A-Scoring Criteria'!O275</f>
        <v>0</v>
      </c>
      <c r="P1829" s="2137">
        <f>'Part IX A-Scoring Criteria'!P275</f>
        <v>0</v>
      </c>
      <c r="Q1829" s="2135"/>
      <c r="R1829" s="2135"/>
    </row>
    <row r="1830" spans="1:26" ht="12.75" customHeight="1">
      <c r="B1830" s="2093" t="s">
        <v>2551</v>
      </c>
      <c r="C1830" s="1156" t="s">
        <v>2406</v>
      </c>
      <c r="G1830" s="1156" t="s">
        <v>2407</v>
      </c>
      <c r="L1830" s="1872" t="s">
        <v>2750</v>
      </c>
      <c r="M1830" s="1629"/>
      <c r="N1830" s="2059" t="s">
        <v>2551</v>
      </c>
      <c r="O1830" s="1934" t="str">
        <f>'Part IX A-Scoring Criteria'!O276</f>
        <v>&lt;Select&gt;</v>
      </c>
      <c r="P1830" s="1934" t="str">
        <f>'Part IX A-Scoring Criteria'!P276</f>
        <v>&lt;Select&gt;</v>
      </c>
      <c r="Q1830" s="2135"/>
      <c r="R1830" s="2135"/>
    </row>
    <row r="1831" spans="1:26" ht="12.75" customHeight="1">
      <c r="A1831" s="1953"/>
      <c r="B1831" s="2098" t="s">
        <v>1236</v>
      </c>
      <c r="C1831" s="1936" t="s">
        <v>4817</v>
      </c>
      <c r="D1831" s="1936"/>
      <c r="E1831" s="1936"/>
      <c r="F1831" s="1936"/>
      <c r="G1831" s="1936"/>
      <c r="H1831" s="1936"/>
      <c r="I1831" s="1936"/>
      <c r="J1831" s="2138" t="s">
        <v>4084</v>
      </c>
      <c r="K1831" s="2138" t="s">
        <v>4082</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4147</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3625</v>
      </c>
      <c r="C1834" s="1156"/>
      <c r="G1834" s="1156"/>
      <c r="M1834" s="1828">
        <v>2</v>
      </c>
      <c r="N1834" s="1858" t="s">
        <v>757</v>
      </c>
      <c r="O1834" s="1840">
        <f>'Part IX A-Scoring Criteria'!O280</f>
        <v>0</v>
      </c>
      <c r="P1834" s="1840">
        <f>'Part IX A-Scoring Criteria'!P280</f>
        <v>0</v>
      </c>
    </row>
    <row r="1835" spans="1:26">
      <c r="A1835" s="1879"/>
      <c r="B1835" s="1999" t="s">
        <v>3629</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2131</v>
      </c>
      <c r="B1836" s="2093" t="s">
        <v>3627</v>
      </c>
      <c r="C1836" s="1156"/>
      <c r="G1836" s="2010" t="s">
        <v>3628</v>
      </c>
      <c r="H1836" s="2144">
        <f>'Part VI-Revenues &amp; Expenses'!$O$59</f>
        <v>0</v>
      </c>
      <c r="I1836" s="1986" t="s">
        <v>3631</v>
      </c>
      <c r="J1836" s="2144">
        <f>'Part VI-Revenues &amp; Expenses'!$O$62</f>
        <v>123</v>
      </c>
      <c r="K1836" s="1986" t="s">
        <v>3632</v>
      </c>
      <c r="L1836" s="2145">
        <f>IF(J1836=0,0,H1836/J1836)</f>
        <v>0</v>
      </c>
      <c r="M1836" s="1828">
        <v>2</v>
      </c>
      <c r="N1836" s="1829" t="s">
        <v>2131</v>
      </c>
      <c r="O1836" s="1837">
        <f>'Part IX A-Scoring Criteria'!O282</f>
        <v>0</v>
      </c>
      <c r="P1836" s="1837">
        <f>'Part IX A-Scoring Criteria'!P282</f>
        <v>0</v>
      </c>
    </row>
    <row r="1837" spans="1:26" ht="15">
      <c r="A1837" s="1629"/>
      <c r="B1837" s="1937" t="s">
        <v>1880</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4086</v>
      </c>
      <c r="C1840" s="2040"/>
      <c r="D1840" s="2041"/>
      <c r="E1840" s="2041"/>
      <c r="F1840" s="2040"/>
      <c r="G1840" s="2040"/>
      <c r="H1840" s="1631"/>
      <c r="I1840" s="2146" t="s">
        <v>3828</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1999</v>
      </c>
      <c r="B1841" s="2147" t="s">
        <v>3819</v>
      </c>
      <c r="D1841" s="1996"/>
      <c r="E1841" s="1996"/>
      <c r="F1841" s="1996"/>
      <c r="G1841" s="1996"/>
      <c r="H1841" s="1996"/>
      <c r="I1841" s="1996"/>
      <c r="J1841" s="1996"/>
      <c r="K1841" s="1996"/>
      <c r="L1841" s="1996"/>
      <c r="M1841" s="2148" t="str">
        <f>IF(OR(SUM(T1841:T1842)&gt;1,SUM(U1841:U1842)&gt;1),"Only one category can be met by other means!","")</f>
        <v/>
      </c>
      <c r="N1841" s="1977" t="s">
        <v>1999</v>
      </c>
      <c r="O1841" s="1942">
        <f>'Part IX A-Scoring Criteria'!O287</f>
        <v>0</v>
      </c>
      <c r="P1841" s="1942">
        <f>'Part IX A-Scoring Criteria'!P287</f>
        <v>0</v>
      </c>
      <c r="U1841" s="1986">
        <f>IF(L1841="Yes",1,0)</f>
        <v>0</v>
      </c>
    </row>
    <row r="1842" spans="1:26">
      <c r="A1842" s="1836" t="s">
        <v>2001</v>
      </c>
      <c r="B1842" s="2147" t="s">
        <v>3820</v>
      </c>
      <c r="D1842" s="1996"/>
      <c r="L1842" s="1996"/>
      <c r="M1842" s="2148"/>
      <c r="N1842" s="1977" t="s">
        <v>2001</v>
      </c>
      <c r="O1842" s="1942">
        <f>'Part IX A-Scoring Criteria'!O288</f>
        <v>0</v>
      </c>
      <c r="P1842" s="1942">
        <f>'Part IX A-Scoring Criteria'!P288</f>
        <v>0</v>
      </c>
      <c r="U1842" s="1986">
        <f>IF(L1842="Yes",1,0)</f>
        <v>0</v>
      </c>
    </row>
    <row r="1843" spans="1:26" ht="15">
      <c r="A1843" s="1629"/>
      <c r="B1843" s="2041" t="s">
        <v>3780</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15.75">
      <c r="A1844" s="1936">
        <f>'Part IX A-Scoring Criteria'!A290</f>
        <v>0</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1880</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2475</v>
      </c>
      <c r="C1848" s="2022"/>
      <c r="D1848" s="2058"/>
      <c r="E1848" s="2058"/>
      <c r="F1848" s="2058"/>
      <c r="G1848" s="2022"/>
      <c r="H1848" s="2071" t="s">
        <v>3413</v>
      </c>
      <c r="I1848" s="2022"/>
      <c r="J1848" s="1933" t="s">
        <v>2812</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1999</v>
      </c>
      <c r="B1849" s="1844" t="s">
        <v>4818</v>
      </c>
      <c r="D1849" s="1629"/>
      <c r="E1849" s="1629"/>
      <c r="F1849" s="1629"/>
      <c r="H1849" s="1933" t="s">
        <v>3709</v>
      </c>
      <c r="I1849" s="1156"/>
      <c r="J1849" s="1933" t="str">
        <f>'Part I-Project Information'!$O$34</f>
        <v>No</v>
      </c>
      <c r="K1849" s="1933"/>
      <c r="L1849" s="2088">
        <f>'Part I-Project Information'!$O$35</f>
        <v>0</v>
      </c>
      <c r="M1849" s="1828">
        <v>3</v>
      </c>
      <c r="N1849" s="1977" t="s">
        <v>1999</v>
      </c>
      <c r="O1849" s="2021">
        <f>'Part IX A-Scoring Criteria'!O295</f>
        <v>0</v>
      </c>
      <c r="P1849" s="2021">
        <f>'Part IX A-Scoring Criteria'!P295</f>
        <v>0</v>
      </c>
      <c r="Q1849" s="2061" t="str">
        <f>IF(OR($O1849=$M1849,$O1849=0,$O1849=""),"","*CHECK!*")</f>
        <v/>
      </c>
      <c r="R1849" s="2105" t="s">
        <v>2724</v>
      </c>
    </row>
    <row r="1850" spans="1:26" ht="12.75" customHeight="1">
      <c r="A1850" s="1156"/>
      <c r="B1850" s="2098" t="s">
        <v>2002</v>
      </c>
      <c r="C1850" s="1936" t="s">
        <v>4245</v>
      </c>
      <c r="D1850" s="1936"/>
      <c r="E1850" s="1936"/>
      <c r="F1850" s="1936"/>
      <c r="G1850" s="1936"/>
      <c r="H1850" s="1936"/>
      <c r="I1850" s="1936"/>
      <c r="J1850" s="1936"/>
      <c r="K1850" s="1936"/>
      <c r="L1850" s="1936"/>
      <c r="M1850" s="1936"/>
      <c r="N1850" s="2048" t="s">
        <v>2002</v>
      </c>
      <c r="O1850" s="1988">
        <f>'Part IX A-Scoring Criteria'!O296</f>
        <v>0</v>
      </c>
      <c r="P1850" s="1988">
        <f>'Part IX A-Scoring Criteria'!P296</f>
        <v>0</v>
      </c>
      <c r="Q1850" s="1936" t="s">
        <v>4819</v>
      </c>
      <c r="R1850" s="1936"/>
      <c r="S1850" s="1936"/>
      <c r="T1850" s="1936"/>
      <c r="U1850" s="1936"/>
      <c r="V1850" s="1936"/>
      <c r="W1850" s="1936"/>
      <c r="X1850" s="1936"/>
      <c r="Y1850" s="1936"/>
      <c r="Z1850" s="1936"/>
    </row>
    <row r="1851" spans="1:26">
      <c r="A1851" s="478"/>
      <c r="B1851" s="2093"/>
      <c r="C1851" s="478" t="s">
        <v>3834</v>
      </c>
      <c r="D1851" s="478"/>
      <c r="E1851" s="478"/>
      <c r="F1851" s="478"/>
      <c r="G1851" s="478"/>
      <c r="H1851" s="1872" t="s">
        <v>2600</v>
      </c>
      <c r="I1851" s="2086">
        <f>'Part IX A-Scoring Criteria'!I297</f>
        <v>0</v>
      </c>
      <c r="J1851" s="1872"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3890</v>
      </c>
      <c r="D1852" s="478"/>
      <c r="E1852" s="478"/>
      <c r="F1852" s="478"/>
      <c r="G1852" s="478"/>
      <c r="H1852" s="1872" t="s">
        <v>2600</v>
      </c>
      <c r="I1852" s="2086">
        <f>'Part IX A-Scoring Criteria'!I298</f>
        <v>0</v>
      </c>
      <c r="J1852" s="1872"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2004</v>
      </c>
      <c r="C1853" s="478" t="s">
        <v>972</v>
      </c>
      <c r="D1853" s="478"/>
      <c r="E1853" s="478"/>
      <c r="F1853" s="478"/>
      <c r="G1853" s="478"/>
      <c r="H1853" s="478"/>
      <c r="I1853" s="478"/>
      <c r="J1853" s="478"/>
      <c r="K1853" s="478"/>
      <c r="L1853" s="478"/>
      <c r="M1853" s="1828"/>
      <c r="N1853" s="2059" t="s">
        <v>2004</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2551</v>
      </c>
      <c r="C1854" s="478" t="s">
        <v>973</v>
      </c>
      <c r="D1854" s="478"/>
      <c r="E1854" s="478"/>
      <c r="F1854" s="478"/>
      <c r="G1854" s="478"/>
      <c r="H1854" s="478"/>
      <c r="I1854" s="478"/>
      <c r="J1854" s="478"/>
      <c r="K1854" s="478"/>
      <c r="L1854" s="478"/>
      <c r="M1854" s="1828"/>
      <c r="N1854" s="2059" t="s">
        <v>2551</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2001</v>
      </c>
      <c r="B1856" s="1844" t="s">
        <v>4820</v>
      </c>
      <c r="C1856" s="1629"/>
      <c r="D1856" s="1629"/>
      <c r="E1856" s="1629"/>
      <c r="F1856" s="1629"/>
      <c r="G1856" s="1629"/>
      <c r="H1856" s="2071" t="s">
        <v>3414</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3633</v>
      </c>
      <c r="C1857" s="1629"/>
      <c r="D1857" s="1629"/>
      <c r="E1857" s="1629"/>
      <c r="F1857" s="1629"/>
      <c r="G1857" s="1629"/>
      <c r="H1857" s="2071"/>
      <c r="I1857" s="1629"/>
      <c r="J1857" s="1629"/>
      <c r="K1857" s="1629"/>
      <c r="L1857" s="1629"/>
      <c r="M1857" s="1828">
        <v>3</v>
      </c>
      <c r="N1857" s="1977" t="s">
        <v>2001</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2002</v>
      </c>
      <c r="C1858" s="1933" t="s">
        <v>4821</v>
      </c>
      <c r="D1858" s="1629"/>
      <c r="E1858" s="1629"/>
      <c r="F1858" s="1629"/>
      <c r="G1858" s="1629"/>
      <c r="H1858" s="1629"/>
      <c r="I1858" s="1629"/>
      <c r="J1858" s="1629"/>
      <c r="K1858" s="1629"/>
      <c r="L1858" s="1985" t="str">
        <f>IF(OR($O1858=$M1858,$O1858=0,$O1858=""),"","* * Check Score! * *")</f>
        <v/>
      </c>
      <c r="M1858" s="1828">
        <v>3</v>
      </c>
      <c r="N1858" s="2091" t="s">
        <v>2002</v>
      </c>
      <c r="O1858" s="2021">
        <f>'Part IX A-Scoring Criteria'!O304</f>
        <v>3</v>
      </c>
      <c r="P1858" s="2021">
        <f>'Part IX A-Scoring Criteria'!P304</f>
        <v>0</v>
      </c>
      <c r="Q1858" s="2061" t="str">
        <f>IF(OR($O1858=$M1858,$O1858=0,$O1858=""),"","*CHECK!*")</f>
        <v/>
      </c>
      <c r="R1858" s="2105" t="s">
        <v>2724</v>
      </c>
      <c r="S1858" s="1629"/>
      <c r="T1858" s="1629"/>
      <c r="U1858" s="1629"/>
      <c r="V1858" s="1629"/>
      <c r="W1858" s="1629"/>
      <c r="X1858" s="1629"/>
      <c r="Y1858" s="1629"/>
      <c r="Z1858" s="1629"/>
    </row>
    <row r="1859" spans="1:26">
      <c r="A1859" s="1942" t="s">
        <v>1365</v>
      </c>
      <c r="B1859" s="2098" t="s">
        <v>2004</v>
      </c>
      <c r="C1859" s="1993" t="s">
        <v>4822</v>
      </c>
      <c r="D1859" s="1629"/>
      <c r="E1859" s="1629"/>
      <c r="F1859" s="1629"/>
      <c r="G1859" s="1872"/>
      <c r="H1859" s="2071"/>
      <c r="I1859" s="1872"/>
      <c r="L1859" s="1985" t="str">
        <f>IF(OR($O1859=$M1859,$O1859=0,$O1859=""),"","* * Check Score! * *")</f>
        <v/>
      </c>
      <c r="M1859" s="1824">
        <v>2</v>
      </c>
      <c r="N1859" s="2091" t="s">
        <v>2004</v>
      </c>
      <c r="O1859" s="2021">
        <f>'Part IX A-Scoring Criteria'!O305</f>
        <v>0</v>
      </c>
      <c r="P1859" s="2021">
        <f>'Part IX A-Scoring Criteria'!P305</f>
        <v>0</v>
      </c>
      <c r="Q1859" s="2061" t="str">
        <f>IF(OR($O1859=$M1859,$O1859=0,$O1859=""),"","*CHECK!*")</f>
        <v/>
      </c>
      <c r="R1859" s="2105" t="s">
        <v>2724</v>
      </c>
    </row>
    <row r="1860" spans="1:26">
      <c r="A1860" s="1836" t="s">
        <v>757</v>
      </c>
      <c r="B1860" s="1844" t="s">
        <v>4823</v>
      </c>
      <c r="C1860" s="1629"/>
      <c r="D1860" s="1629"/>
      <c r="E1860" s="1629"/>
      <c r="F1860" s="1629"/>
      <c r="G1860" s="1629"/>
      <c r="H1860" s="2071" t="s">
        <v>4092</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3636</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2002</v>
      </c>
      <c r="C1862" s="1156" t="s">
        <v>3635</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2002</v>
      </c>
      <c r="O1862" s="2021">
        <f>'Part IX A-Scoring Criteria'!O308</f>
        <v>0</v>
      </c>
      <c r="P1862" s="2021">
        <f>'Part IX A-Scoring Criteria'!P308</f>
        <v>0</v>
      </c>
      <c r="Q1862" s="2061" t="str">
        <f>IF(OR($O1862=$M1862,$O1862=0,$O1862=""),"","*CHECK!*")</f>
        <v/>
      </c>
      <c r="R1862" s="2105" t="s">
        <v>2724</v>
      </c>
      <c r="S1862" s="1629"/>
      <c r="T1862" s="1629"/>
      <c r="U1862" s="1629"/>
      <c r="V1862" s="1629"/>
      <c r="W1862" s="1629"/>
      <c r="X1862" s="1629"/>
      <c r="Y1862" s="1629"/>
      <c r="Z1862" s="1629"/>
    </row>
    <row r="1863" spans="1:26">
      <c r="A1863" s="1942" t="s">
        <v>1365</v>
      </c>
      <c r="B1863" s="2098" t="s">
        <v>2004</v>
      </c>
      <c r="C1863" s="1933" t="s">
        <v>4824</v>
      </c>
      <c r="D1863" s="1629"/>
      <c r="E1863" s="1629"/>
      <c r="F1863" s="1629"/>
      <c r="G1863" s="1872"/>
      <c r="H1863" s="1873"/>
      <c r="I1863" s="1872"/>
      <c r="K1863" s="1841"/>
      <c r="L1863" s="1841"/>
      <c r="M1863" s="1824">
        <v>3</v>
      </c>
      <c r="N1863" s="2091" t="s">
        <v>2004</v>
      </c>
      <c r="O1863" s="2021">
        <f>'Part IX A-Scoring Criteria'!O309</f>
        <v>0</v>
      </c>
      <c r="P1863" s="2021">
        <f>'Part IX A-Scoring Criteria'!P309</f>
        <v>0</v>
      </c>
      <c r="Q1863" s="2061" t="str">
        <f>IF(OR($O1863=$M1863,$O1863=0,$O1863=""),"","*CHECK!*")</f>
        <v/>
      </c>
      <c r="R1863" s="2105" t="s">
        <v>2724</v>
      </c>
    </row>
    <row r="1864" spans="1:26">
      <c r="A1864" s="1942" t="s">
        <v>1365</v>
      </c>
      <c r="B1864" s="2098" t="s">
        <v>2551</v>
      </c>
      <c r="C1864" s="1993" t="s">
        <v>4825</v>
      </c>
      <c r="D1864" s="1629"/>
      <c r="E1864" s="1629"/>
      <c r="F1864" s="1629"/>
      <c r="G1864" s="1872"/>
      <c r="H1864" s="2071"/>
      <c r="I1864" s="1872"/>
      <c r="K1864" s="1841"/>
      <c r="L1864" s="1841"/>
      <c r="M1864" s="1824">
        <v>2</v>
      </c>
      <c r="N1864" s="2091" t="s">
        <v>2551</v>
      </c>
      <c r="O1864" s="2021">
        <f>'Part IX A-Scoring Criteria'!O310</f>
        <v>0</v>
      </c>
      <c r="P1864" s="2021">
        <f>'Part IX A-Scoring Criteria'!P310</f>
        <v>0</v>
      </c>
      <c r="Q1864" s="2061" t="str">
        <f>IF(OR($O1864=$M1864,$O1864=0,$O1864=""),"","*CHECK!*")</f>
        <v/>
      </c>
      <c r="R1864" s="2105" t="s">
        <v>2724</v>
      </c>
    </row>
    <row r="1865" spans="1:26" ht="15">
      <c r="A1865" s="1629"/>
      <c r="B1865" s="2041" t="s">
        <v>3780</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168.75">
      <c r="A1866" s="1936" t="str">
        <f>'Part IX A-Scoring Criteria'!A312</f>
        <v>No projects have been funded within a 1-mile radius in the last 6 DCA funding cycles, therefore, we qualify for 3 points. See Tab 44 - for previous project map</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1880</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2845</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1999</v>
      </c>
      <c r="B1871" s="1844" t="s">
        <v>2249</v>
      </c>
      <c r="C1871" s="2040"/>
      <c r="D1871" s="2071"/>
      <c r="E1871" s="2071"/>
      <c r="F1871" s="2018"/>
      <c r="H1871" s="2040"/>
      <c r="I1871" s="2040"/>
      <c r="J1871" s="2040"/>
      <c r="K1871" s="2040"/>
      <c r="L1871" s="1985" t="str">
        <f>IF(OR($O1871=$M1871,$O1871=0,$O1871=""),"","* * Check Score! * *")</f>
        <v/>
      </c>
      <c r="M1871" s="1828">
        <v>1</v>
      </c>
      <c r="N1871" s="1977" t="s">
        <v>1999</v>
      </c>
      <c r="O1871" s="2021">
        <f>'Part IX A-Scoring Criteria'!O317</f>
        <v>1</v>
      </c>
      <c r="P1871" s="2021">
        <f>'Part IX A-Scoring Criteria'!P317</f>
        <v>0</v>
      </c>
      <c r="Q1871" s="2061" t="str">
        <f>IF(OR($O1871=$M1871,$O1871=0,$O1871=""),"","*CHECK!*")</f>
        <v/>
      </c>
      <c r="R1871" s="2105" t="s">
        <v>2724</v>
      </c>
      <c r="S1871" s="2040"/>
      <c r="T1871" s="2089"/>
      <c r="U1871" s="2089"/>
      <c r="V1871" s="2040"/>
      <c r="W1871" s="2040"/>
      <c r="X1871" s="2040"/>
      <c r="Y1871" s="2040"/>
      <c r="Z1871" s="2040"/>
    </row>
    <row r="1872" spans="1:26" ht="18.75">
      <c r="A1872" s="1855"/>
      <c r="B1872" s="1872" t="s">
        <v>2708</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2001</v>
      </c>
      <c r="B1873" s="1844" t="s">
        <v>2250</v>
      </c>
      <c r="C1873" s="2022"/>
      <c r="D1873" s="478"/>
      <c r="E1873" s="2022"/>
      <c r="F1873" s="2022"/>
      <c r="G1873" s="2022"/>
      <c r="H1873" s="2022"/>
      <c r="I1873" s="2022"/>
      <c r="J1873" s="2022"/>
      <c r="K1873" s="478"/>
      <c r="L1873" s="1985" t="str">
        <f>IF(OR($O1873=$M1873,$O1873=0,$O1873=""),"","* * Check Score! * *")</f>
        <v/>
      </c>
      <c r="M1873" s="1828">
        <v>1</v>
      </c>
      <c r="N1873" s="1977" t="s">
        <v>2001</v>
      </c>
      <c r="O1873" s="2021">
        <f>'Part IX A-Scoring Criteria'!O319</f>
        <v>0</v>
      </c>
      <c r="P1873" s="2021">
        <f>'Part IX A-Scoring Criteria'!P319</f>
        <v>0</v>
      </c>
      <c r="Q1873" s="2061" t="str">
        <f>IF(OR($O1873=$M1873,$O1873=0,$O1873=""),"","*CHECK!*")</f>
        <v/>
      </c>
      <c r="R1873" s="2105" t="s">
        <v>2724</v>
      </c>
      <c r="S1873" s="2022"/>
      <c r="T1873" s="2089"/>
      <c r="U1873" s="2089"/>
      <c r="V1873" s="2022"/>
      <c r="W1873" s="2022"/>
      <c r="X1873" s="2022"/>
      <c r="Y1873" s="2022"/>
      <c r="Z1873" s="2022"/>
    </row>
    <row r="1874" spans="1:26" ht="18.75">
      <c r="A1874" s="1855"/>
      <c r="B1874" s="1872" t="s">
        <v>4093</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1880</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2800</v>
      </c>
      <c r="B1878" s="2024" t="s">
        <v>4094</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2001</v>
      </c>
      <c r="B1879" s="1844" t="s">
        <v>4095</v>
      </c>
      <c r="C1879" s="1894"/>
      <c r="D1879" s="1999"/>
      <c r="E1879" s="478"/>
      <c r="F1879" s="2022"/>
      <c r="G1879" s="1881">
        <f>'Part IX A-Scoring Criteria'!G325</f>
        <v>0</v>
      </c>
      <c r="H1879" s="2022"/>
      <c r="I1879" s="2022"/>
      <c r="J1879" s="1872" t="s">
        <v>2703</v>
      </c>
      <c r="K1879" s="2022"/>
      <c r="L1879" s="478"/>
      <c r="M1879" s="2022"/>
      <c r="N1879" s="2022"/>
      <c r="O1879" s="1831">
        <f>'Part I-Project Information'!$H$96</f>
        <v>0</v>
      </c>
      <c r="P1879" s="1837">
        <f>'Part IX A-Scoring Criteria'!P325</f>
        <v>0</v>
      </c>
      <c r="Q1879" s="1837"/>
      <c r="R1879" s="2022"/>
      <c r="S1879" s="2022"/>
      <c r="T1879" s="2022"/>
      <c r="U1879" s="2022"/>
      <c r="V1879" s="2022"/>
      <c r="W1879" s="2022"/>
      <c r="X1879" s="2022"/>
      <c r="Y1879" s="2022"/>
      <c r="Z1879" s="2022"/>
    </row>
    <row r="1880" spans="1:26" ht="15">
      <c r="A1880" s="1855"/>
      <c r="B1880" s="2094" t="s">
        <v>2002</v>
      </c>
      <c r="C1880" s="478" t="s">
        <v>3483</v>
      </c>
      <c r="D1880" s="1629"/>
      <c r="E1880" s="2040"/>
      <c r="F1880" s="2040"/>
      <c r="G1880" s="2040"/>
      <c r="H1880" s="2040"/>
      <c r="I1880" s="2040"/>
      <c r="J1880" s="2040"/>
      <c r="K1880" s="2040"/>
      <c r="L1880" s="2040"/>
      <c r="M1880" s="2040"/>
      <c r="N1880" s="2091" t="s">
        <v>2002</v>
      </c>
      <c r="O1880" s="1942">
        <f>'Part IX A-Scoring Criteria'!O326</f>
        <v>0</v>
      </c>
      <c r="P1880" s="1942">
        <f>'Part IX A-Scoring Criteria'!P326</f>
        <v>0</v>
      </c>
      <c r="Q1880" s="2040"/>
      <c r="R1880" s="1985"/>
      <c r="S1880" s="2040"/>
      <c r="T1880" s="2040"/>
      <c r="U1880" s="2040"/>
      <c r="V1880" s="2040"/>
      <c r="W1880" s="2040"/>
      <c r="X1880" s="2040"/>
      <c r="Y1880" s="2040"/>
      <c r="Z1880" s="2040"/>
    </row>
    <row r="1881" spans="1:26" ht="15">
      <c r="A1881" s="1855"/>
      <c r="B1881" s="2094" t="s">
        <v>2004</v>
      </c>
      <c r="C1881" s="478" t="s">
        <v>4114</v>
      </c>
      <c r="D1881" s="1629"/>
      <c r="E1881" s="2040"/>
      <c r="F1881" s="2040"/>
      <c r="G1881" s="2040"/>
      <c r="H1881" s="2040"/>
      <c r="I1881" s="2040"/>
      <c r="J1881" s="2040"/>
      <c r="K1881" s="2040"/>
      <c r="L1881" s="2040"/>
      <c r="M1881" s="2040"/>
      <c r="N1881" s="2091" t="s">
        <v>2004</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2551</v>
      </c>
      <c r="C1882" s="478" t="s">
        <v>4113</v>
      </c>
      <c r="D1882" s="1629"/>
      <c r="E1882" s="2040"/>
      <c r="F1882" s="2040"/>
      <c r="G1882" s="2040"/>
      <c r="H1882" s="2040"/>
      <c r="I1882" s="2040"/>
      <c r="J1882" s="2040"/>
      <c r="K1882" s="2040"/>
      <c r="L1882" s="2040"/>
      <c r="M1882" s="2040"/>
      <c r="N1882" s="2091" t="s">
        <v>2551</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4115</v>
      </c>
      <c r="D1883" s="1629"/>
      <c r="E1883" s="2040"/>
      <c r="F1883" s="2040"/>
      <c r="G1883" s="2040"/>
      <c r="H1883" s="2040"/>
      <c r="I1883" s="2040"/>
      <c r="J1883" s="2040"/>
      <c r="K1883" s="2040"/>
      <c r="L1883" s="2040"/>
      <c r="M1883" s="2040"/>
      <c r="N1883" s="2091" t="s">
        <v>1236</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1999</v>
      </c>
      <c r="B1884" s="1844" t="s">
        <v>4096</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2002</v>
      </c>
      <c r="C1885" s="478" t="s">
        <v>3483</v>
      </c>
      <c r="D1885" s="478"/>
      <c r="E1885" s="478"/>
      <c r="F1885" s="2040"/>
      <c r="G1885" s="2040"/>
      <c r="H1885" s="2040"/>
      <c r="I1885" s="2040"/>
      <c r="J1885" s="2040"/>
      <c r="K1885" s="2040"/>
      <c r="L1885" s="2040"/>
      <c r="M1885" s="1837"/>
      <c r="N1885" s="2091" t="s">
        <v>2002</v>
      </c>
      <c r="O1885" s="1942">
        <f>'Part IX A-Scoring Criteria'!O331</f>
        <v>0</v>
      </c>
      <c r="P1885" s="1942">
        <f>'Part IX A-Scoring Criteria'!P331</f>
        <v>0</v>
      </c>
      <c r="Q1885" s="1837"/>
      <c r="R1885" s="2040"/>
      <c r="S1885" s="2040"/>
      <c r="T1885" s="2040"/>
      <c r="U1885" s="2040"/>
      <c r="V1885" s="2040"/>
      <c r="W1885" s="2040"/>
      <c r="X1885" s="2040"/>
      <c r="Y1885" s="2040"/>
      <c r="Z1885" s="2040"/>
    </row>
    <row r="1886" spans="1:26" ht="15">
      <c r="A1886" s="1855"/>
      <c r="B1886" s="2094" t="s">
        <v>2004</v>
      </c>
      <c r="C1886" s="478" t="s">
        <v>4127</v>
      </c>
      <c r="D1886" s="1629"/>
      <c r="E1886" s="2040"/>
      <c r="F1886" s="2040"/>
      <c r="G1886" s="2040"/>
      <c r="H1886" s="2040"/>
      <c r="I1886" s="2040"/>
      <c r="J1886" s="2040"/>
      <c r="K1886" s="2040"/>
      <c r="L1886" s="2040"/>
      <c r="M1886" s="2040"/>
      <c r="N1886" s="2091" t="s">
        <v>2004</v>
      </c>
      <c r="O1886" s="1942">
        <f>'Part IX A-Scoring Criteria'!O332</f>
        <v>0</v>
      </c>
      <c r="P1886" s="1942">
        <f>'Part IX A-Scoring Criteria'!P332</f>
        <v>0</v>
      </c>
      <c r="Q1886" s="2040"/>
      <c r="R1886" s="1985"/>
      <c r="S1886" s="2040"/>
      <c r="T1886" s="2040"/>
      <c r="U1886" s="2040"/>
      <c r="V1886" s="2040"/>
      <c r="W1886" s="2040"/>
      <c r="X1886" s="2040"/>
      <c r="Y1886" s="2040"/>
      <c r="Z1886" s="2040"/>
    </row>
    <row r="1887" spans="1:26" ht="15">
      <c r="A1887" s="1855"/>
      <c r="B1887" s="2094" t="s">
        <v>2551</v>
      </c>
      <c r="C1887" s="478" t="s">
        <v>4115</v>
      </c>
      <c r="D1887" s="1629"/>
      <c r="E1887" s="2040"/>
      <c r="F1887" s="2040"/>
      <c r="G1887" s="2040"/>
      <c r="H1887" s="2040"/>
      <c r="I1887" s="2040"/>
      <c r="J1887" s="2040"/>
      <c r="K1887" s="2040"/>
      <c r="L1887" s="2040"/>
      <c r="M1887" s="2040"/>
      <c r="N1887" s="2091" t="s">
        <v>2551</v>
      </c>
      <c r="O1887" s="1942">
        <f>'Part IX A-Scoring Criteria'!O333</f>
        <v>0</v>
      </c>
      <c r="P1887" s="1942">
        <f>'Part IX A-Scoring Criteria'!P333</f>
        <v>0</v>
      </c>
      <c r="Q1887" s="2040"/>
      <c r="R1887" s="1985"/>
      <c r="S1887" s="2040"/>
      <c r="T1887" s="2040"/>
      <c r="U1887" s="2040"/>
      <c r="V1887" s="2040"/>
      <c r="W1887" s="2040"/>
      <c r="X1887" s="2040"/>
      <c r="Y1887" s="2040"/>
      <c r="Z1887" s="2040"/>
    </row>
    <row r="1888" spans="1:26" ht="15">
      <c r="A1888" s="2022"/>
      <c r="B1888" s="1937" t="s">
        <v>1880</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2267</v>
      </c>
      <c r="B1891" s="2024" t="s">
        <v>4097</v>
      </c>
      <c r="C1891" s="2082"/>
      <c r="D1891" s="2082"/>
      <c r="E1891" s="2082"/>
      <c r="F1891" s="2082"/>
      <c r="G1891" s="2082"/>
      <c r="H1891" s="478" t="s">
        <v>3601</v>
      </c>
      <c r="I1891" s="1969" t="str">
        <f>'Part I-Project Information'!$H$100</f>
        <v>Flexible</v>
      </c>
      <c r="J1891" s="1872"/>
      <c r="K1891" s="2082"/>
      <c r="L1891" s="1985" t="str">
        <f>IF(OR($O1891=$M1891,$O1891=0,$O1891=""),"","* * Check Score! * *")</f>
        <v/>
      </c>
      <c r="M1891" s="1837">
        <v>1</v>
      </c>
      <c r="N1891" s="2083"/>
      <c r="O1891" s="1837">
        <f>'Part IX A-Scoring Criteria'!O337</f>
        <v>0</v>
      </c>
      <c r="P1891" s="1837">
        <f>'Part IX A-Scoring Criteria'!P337</f>
        <v>0</v>
      </c>
      <c r="Q1891" s="1837" t="s">
        <v>443</v>
      </c>
      <c r="R1891" s="2105" t="s">
        <v>2724</v>
      </c>
      <c r="S1891" s="2082"/>
      <c r="T1891" s="2082"/>
      <c r="U1891" s="2082"/>
      <c r="V1891" s="2082"/>
      <c r="W1891" s="2082"/>
      <c r="X1891" s="2082"/>
      <c r="Y1891" s="2082"/>
      <c r="Z1891" s="2082"/>
    </row>
    <row r="1892" spans="1:26" ht="15" customHeight="1">
      <c r="A1892" s="1936" t="s">
        <v>4826</v>
      </c>
      <c r="B1892" s="1936"/>
      <c r="C1892" s="1936"/>
      <c r="D1892" s="1936"/>
      <c r="E1892" s="1936"/>
      <c r="F1892" s="1936"/>
      <c r="G1892" s="1936"/>
      <c r="H1892" s="1936"/>
      <c r="I1892" s="1961" t="s">
        <v>4196</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3780</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15.75">
      <c r="A1896" s="1936">
        <f>'Part IX A-Scoring Criteria'!A342</f>
        <v>0</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1880</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4151</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1999</v>
      </c>
      <c r="B1901" s="1969" t="s">
        <v>3640</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2724</v>
      </c>
      <c r="S1901" s="2022"/>
      <c r="T1901" s="2022"/>
      <c r="U1901" s="2022"/>
      <c r="V1901" s="2022"/>
      <c r="W1901" s="2022"/>
      <c r="X1901" s="2022"/>
      <c r="Y1901" s="2022"/>
      <c r="Z1901" s="2022"/>
    </row>
    <row r="1902" spans="1:26" ht="15">
      <c r="A1902" s="2022"/>
      <c r="B1902" s="1872" t="s">
        <v>4101</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1999</v>
      </c>
      <c r="O1902" s="1986" t="s">
        <v>2527</v>
      </c>
      <c r="P1902" s="1986" t="s">
        <v>2527</v>
      </c>
      <c r="Q1902" s="2022"/>
      <c r="R1902" s="2022"/>
      <c r="S1902" s="2022"/>
      <c r="T1902" s="2022"/>
      <c r="U1902" s="2022"/>
      <c r="V1902" s="2022"/>
      <c r="W1902" s="2022"/>
      <c r="X1902" s="2022"/>
      <c r="Y1902" s="2022"/>
      <c r="Z1902" s="2022"/>
    </row>
    <row r="1903" spans="1:26">
      <c r="A1903" s="478"/>
      <c r="B1903" s="2091" t="s">
        <v>2002</v>
      </c>
      <c r="C1903" s="1872" t="s">
        <v>4098</v>
      </c>
      <c r="D1903" s="478"/>
      <c r="E1903" s="478"/>
      <c r="F1903" s="478"/>
      <c r="G1903" s="478"/>
      <c r="H1903" s="478"/>
      <c r="I1903" s="478"/>
      <c r="J1903" s="478"/>
      <c r="K1903" s="478"/>
      <c r="L1903" s="478"/>
      <c r="M1903" s="478"/>
      <c r="N1903" s="2091" t="s">
        <v>2002</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2004</v>
      </c>
      <c r="C1904" s="1872" t="s">
        <v>4099</v>
      </c>
      <c r="D1904" s="478"/>
      <c r="E1904" s="478"/>
      <c r="F1904" s="478"/>
      <c r="G1904" s="478"/>
      <c r="H1904" s="478"/>
      <c r="I1904" s="478"/>
      <c r="J1904" s="478"/>
      <c r="K1904" s="478"/>
      <c r="L1904" s="478"/>
      <c r="M1904" s="478"/>
      <c r="N1904" s="2091" t="s">
        <v>2004</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2551</v>
      </c>
      <c r="C1905" s="1872" t="s">
        <v>4100</v>
      </c>
      <c r="D1905" s="478"/>
      <c r="E1905" s="478"/>
      <c r="F1905" s="478"/>
      <c r="G1905" s="478"/>
      <c r="H1905" s="478"/>
      <c r="I1905" s="478"/>
      <c r="J1905" s="478"/>
      <c r="K1905" s="478"/>
      <c r="L1905" s="478"/>
      <c r="M1905" s="478"/>
      <c r="N1905" s="2091" t="s">
        <v>2551</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3641</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2001</v>
      </c>
      <c r="B1908" s="1844" t="s">
        <v>2815</v>
      </c>
      <c r="D1908" s="1629"/>
      <c r="H1908" s="2150" t="s">
        <v>3509</v>
      </c>
      <c r="I1908" s="2150"/>
      <c r="J1908" s="2150"/>
      <c r="K1908" s="2150"/>
      <c r="L1908" s="2150"/>
      <c r="M1908" s="1831">
        <v>1</v>
      </c>
      <c r="N1908" s="1977" t="s">
        <v>2001</v>
      </c>
      <c r="O1908" s="2021">
        <f>'Part IX A-Scoring Criteria'!O354</f>
        <v>0</v>
      </c>
      <c r="P1908" s="2021">
        <f>'Part IX A-Scoring Criteria'!P354</f>
        <v>0</v>
      </c>
      <c r="Q1908" s="2061" t="str">
        <f>IF(OR($O1908=$M1908,$O1908=0,$O1908=""),"","*CHECK!*")</f>
        <v/>
      </c>
      <c r="R1908" s="2105" t="s">
        <v>2724</v>
      </c>
    </row>
    <row r="1909" spans="1:26">
      <c r="A1909" s="1629"/>
      <c r="B1909" s="478" t="s">
        <v>2816</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3643</v>
      </c>
      <c r="C1910" s="478" t="str">
        <f>'Part I-Project Information'!$F$38</f>
        <v>Atlanta</v>
      </c>
      <c r="D1910" s="1629"/>
      <c r="E1910" s="478" t="s">
        <v>3508</v>
      </c>
      <c r="F1910" s="478" t="str">
        <f>'Part I-Project Information'!$J$39</f>
        <v>Fulton</v>
      </c>
      <c r="G1910" s="1629"/>
      <c r="H1910" s="1872" t="s">
        <v>455</v>
      </c>
      <c r="I1910" s="1872" t="str">
        <f>'Part I-Project Information'!$N$39</f>
        <v>Yes</v>
      </c>
      <c r="J1910" s="1629"/>
      <c r="K1910" s="1872" t="s">
        <v>3642</v>
      </c>
      <c r="L1910" s="2120" t="str">
        <f>'Part I-Project Information'!$O$38</f>
        <v>84.00</v>
      </c>
      <c r="M1910" s="2120"/>
      <c r="N1910" s="2120"/>
      <c r="O1910" s="2120"/>
      <c r="P1910" s="2120"/>
      <c r="Q1910" s="1629"/>
      <c r="R1910" s="1629"/>
      <c r="S1910" s="1629"/>
      <c r="T1910" s="1629"/>
      <c r="U1910" s="1629"/>
      <c r="V1910" s="1629"/>
      <c r="W1910" s="1629"/>
      <c r="X1910" s="1629"/>
      <c r="Y1910" s="1629"/>
      <c r="Z1910" s="1629"/>
    </row>
    <row r="1911" spans="1:26" ht="15">
      <c r="A1911" s="1629"/>
      <c r="B1911" s="2041" t="s">
        <v>3780</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15.75">
      <c r="A1912" s="1936">
        <f>'Part IX A-Scoring Criteria'!A358</f>
        <v>0</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1880</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4152</v>
      </c>
      <c r="B1916" s="2024" t="s">
        <v>4104</v>
      </c>
      <c r="C1916" s="2022"/>
      <c r="D1916" s="1894"/>
      <c r="E1916" s="1894"/>
      <c r="F1916" s="478"/>
      <c r="G1916" s="478"/>
      <c r="H1916" s="1844" t="s">
        <v>2812</v>
      </c>
      <c r="I1916" s="2022"/>
      <c r="J1916" s="1844" t="str">
        <f>'Part I-Project Information'!$H$100</f>
        <v>Flexible</v>
      </c>
      <c r="K1916" s="2022"/>
      <c r="L1916" s="1985" t="str">
        <f>IF(OR($O1916=$M1916,$O1916=$M1923,$O1916=$M1941,$O1916=0,$O1916=""),"","* * Check Score! * *")</f>
        <v/>
      </c>
      <c r="M1916" s="2021">
        <v>4</v>
      </c>
      <c r="N1916" s="1828"/>
      <c r="O1916" s="2021">
        <f>'Part IX A-Scoring Criteria'!O362</f>
        <v>3</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2902</v>
      </c>
      <c r="C1917" s="2022"/>
      <c r="D1917" s="2022"/>
      <c r="E1917" s="1894"/>
      <c r="F1917" s="478"/>
      <c r="G1917" s="478"/>
      <c r="H1917" s="478"/>
      <c r="I1917" s="478"/>
      <c r="J1917" s="2022"/>
      <c r="K1917" s="1934"/>
      <c r="L1917" s="2151"/>
      <c r="M1917" s="2022"/>
      <c r="N1917" s="2022"/>
      <c r="O1917" s="1934" t="s">
        <v>2527</v>
      </c>
      <c r="P1917" s="1934" t="s">
        <v>2527</v>
      </c>
      <c r="Q1917" s="2022"/>
      <c r="R1917" s="2022"/>
      <c r="S1917" s="2022"/>
      <c r="T1917" s="2022"/>
      <c r="U1917" s="2022"/>
      <c r="V1917" s="2022"/>
      <c r="W1917" s="2022"/>
      <c r="X1917" s="2022"/>
      <c r="Y1917" s="2022"/>
      <c r="Z1917" s="2022"/>
    </row>
    <row r="1918" spans="1:26" ht="15">
      <c r="A1918" s="1156"/>
      <c r="B1918" s="1977" t="s">
        <v>2451</v>
      </c>
      <c r="C1918" s="1156" t="s">
        <v>2846</v>
      </c>
      <c r="D1918" s="1156"/>
      <c r="E1918" s="1894"/>
      <c r="F1918" s="478"/>
      <c r="G1918" s="478"/>
      <c r="H1918" s="478"/>
      <c r="I1918" s="478"/>
      <c r="J1918" s="2022"/>
      <c r="K1918" s="1934"/>
      <c r="L1918" s="2011" t="str">
        <f>IF(OR(O1918="No",O1918="",O1919="No",O1919="",O1920="No",O1920="",O1921="No",O1921=""),"Unmet criterion results in no points!","")</f>
        <v/>
      </c>
      <c r="M1918" s="2011"/>
      <c r="N1918" s="1977" t="s">
        <v>2451</v>
      </c>
      <c r="O1918" s="1942" t="str">
        <f>'Part IX A-Scoring Criteria'!O364</f>
        <v>Yes</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2452</v>
      </c>
      <c r="C1919" s="1156" t="s">
        <v>3837</v>
      </c>
      <c r="D1919" s="1156"/>
      <c r="E1919" s="1156"/>
      <c r="F1919" s="1156"/>
      <c r="G1919" s="1156"/>
      <c r="H1919" s="1156"/>
      <c r="I1919" s="1156"/>
      <c r="J1919" s="1156"/>
      <c r="K1919" s="1156"/>
      <c r="L1919" s="2011"/>
      <c r="M1919" s="2011"/>
      <c r="N1919" s="1987" t="s">
        <v>2452</v>
      </c>
      <c r="O1919" s="1942" t="str">
        <f>'Part IX A-Scoring Criteria'!O365</f>
        <v>Yes</v>
      </c>
      <c r="P1919" s="1942">
        <f>'Part IX A-Scoring Criteria'!P365</f>
        <v>0</v>
      </c>
      <c r="Q1919" s="1156"/>
      <c r="R1919" s="2011"/>
      <c r="S1919" s="2011"/>
      <c r="T1919" s="1156"/>
      <c r="U1919" s="1156"/>
      <c r="V1919" s="1156"/>
      <c r="W1919" s="1156"/>
      <c r="X1919" s="1156"/>
      <c r="Y1919" s="1156"/>
      <c r="Z1919" s="1156"/>
    </row>
    <row r="1920" spans="1:26">
      <c r="A1920" s="1156"/>
      <c r="B1920" s="1977" t="s">
        <v>2453</v>
      </c>
      <c r="C1920" s="1156" t="s">
        <v>3836</v>
      </c>
      <c r="D1920" s="1156"/>
      <c r="E1920" s="1156"/>
      <c r="F1920" s="1156"/>
      <c r="G1920" s="1156"/>
      <c r="H1920" s="1156"/>
      <c r="I1920" s="1156"/>
      <c r="J1920" s="1156"/>
      <c r="K1920" s="1156"/>
      <c r="L1920" s="2011"/>
      <c r="M1920" s="2011"/>
      <c r="N1920" s="1977" t="s">
        <v>2453</v>
      </c>
      <c r="O1920" s="1942" t="str">
        <f>'Part IX A-Scoring Criteria'!O366</f>
        <v>Yes</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2454</v>
      </c>
      <c r="C1921" s="1901" t="s">
        <v>4105</v>
      </c>
      <c r="D1921" s="1901"/>
      <c r="E1921" s="1901"/>
      <c r="F1921" s="1901"/>
      <c r="G1921" s="1901"/>
      <c r="H1921" s="1901"/>
      <c r="I1921" s="1901"/>
      <c r="J1921" s="1901"/>
      <c r="K1921" s="1901"/>
      <c r="L1921" s="1901"/>
      <c r="M1921" s="1901"/>
      <c r="N1921" s="1987" t="s">
        <v>2454</v>
      </c>
      <c r="O1921" s="1988" t="str">
        <f>'Part IX A-Scoring Criteria'!O367</f>
        <v>Yes</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1999</v>
      </c>
      <c r="B1923" s="1844" t="s">
        <v>4106</v>
      </c>
      <c r="L1923" s="1985" t="str">
        <f>IF(OR($O1923=$M1923,$O1923=0,$O1923=""),"","* * Check Score! * *")</f>
        <v/>
      </c>
      <c r="M1923" s="1831">
        <v>3</v>
      </c>
      <c r="N1923" s="1977" t="s">
        <v>1999</v>
      </c>
      <c r="O1923" s="2021">
        <f>'Part IX A-Scoring Criteria'!O369</f>
        <v>3</v>
      </c>
      <c r="P1923" s="2021">
        <f>'Part IX A-Scoring Criteria'!P369</f>
        <v>0</v>
      </c>
      <c r="Q1923" s="2061" t="str">
        <f>IF(OR($O1923=$M1923,$O1923=0,$O1923=""),"","*CHECK!*")</f>
        <v/>
      </c>
      <c r="R1923" s="2105" t="s">
        <v>2724</v>
      </c>
    </row>
    <row r="1924" spans="1:26" ht="12.75" customHeight="1">
      <c r="A1924" s="2152"/>
      <c r="B1924" s="2074" t="s">
        <v>2002</v>
      </c>
      <c r="C1924" s="1936" t="s">
        <v>4107</v>
      </c>
      <c r="D1924" s="1936"/>
      <c r="E1924" s="1936"/>
      <c r="F1924" s="1936"/>
      <c r="G1924" s="1936"/>
      <c r="H1924" s="1936"/>
      <c r="I1924" s="1936"/>
      <c r="J1924" s="2085" t="s">
        <v>2006</v>
      </c>
      <c r="K1924" s="2085"/>
      <c r="M1924" s="2085" t="s">
        <v>2006</v>
      </c>
      <c r="N1924" s="2085"/>
      <c r="O1924" s="2085"/>
      <c r="P1924" s="2085"/>
    </row>
    <row r="1925" spans="1:26" ht="15">
      <c r="A1925" s="1984"/>
      <c r="B1925" s="1977" t="s">
        <v>2451</v>
      </c>
      <c r="C1925" s="478" t="s">
        <v>1494</v>
      </c>
      <c r="D1925" s="2022"/>
      <c r="E1925" s="2022"/>
      <c r="F1925" s="2022"/>
      <c r="G1925" s="2022"/>
      <c r="H1925" s="2022"/>
      <c r="I1925" s="1977" t="s">
        <v>2451</v>
      </c>
      <c r="J1925" s="1889">
        <f>'Part IX A-Scoring Criteria'!J371</f>
        <v>0</v>
      </c>
      <c r="K1925" s="1889">
        <f>'Part IX A-Scoring Criteria'!K371</f>
        <v>0</v>
      </c>
      <c r="L1925" s="1977" t="s">
        <v>2451</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2452</v>
      </c>
      <c r="C1926" s="478" t="s">
        <v>3647</v>
      </c>
      <c r="I1926" s="1987" t="s">
        <v>2452</v>
      </c>
      <c r="J1926" s="1889">
        <f>'Part IX A-Scoring Criteria'!J372</f>
        <v>0</v>
      </c>
      <c r="K1926" s="1889">
        <f>'Part IX A-Scoring Criteria'!K372</f>
        <v>0</v>
      </c>
      <c r="L1926" s="1987" t="s">
        <v>2452</v>
      </c>
      <c r="M1926" s="1889">
        <f>'Part IX A-Scoring Criteria'!M372</f>
        <v>0</v>
      </c>
      <c r="N1926" s="1889">
        <f>'Part IX A-Scoring Criteria'!N372</f>
        <v>0</v>
      </c>
      <c r="O1926" s="1889">
        <f>'Part IX A-Scoring Criteria'!O372</f>
        <v>0</v>
      </c>
      <c r="P1926" s="1889">
        <f>'Part IX A-Scoring Criteria'!P372</f>
        <v>0</v>
      </c>
      <c r="R1926" s="1985"/>
    </row>
    <row r="1927" spans="1:26">
      <c r="B1927" s="1977" t="s">
        <v>2453</v>
      </c>
      <c r="C1927" s="478" t="s">
        <v>2643</v>
      </c>
      <c r="I1927" s="1977" t="s">
        <v>2453</v>
      </c>
      <c r="J1927" s="1889">
        <f>'Part IX A-Scoring Criteria'!J373</f>
        <v>2000000</v>
      </c>
      <c r="K1927" s="1889">
        <f>'Part IX A-Scoring Criteria'!K373</f>
        <v>0</v>
      </c>
      <c r="L1927" s="1977" t="s">
        <v>2453</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2454</v>
      </c>
      <c r="C1928" s="478" t="s">
        <v>3484</v>
      </c>
      <c r="I1928" s="1977" t="s">
        <v>2454</v>
      </c>
      <c r="J1928" s="1889">
        <f>'Part IX A-Scoring Criteria'!J374</f>
        <v>0</v>
      </c>
      <c r="K1928" s="1889">
        <f>'Part IX A-Scoring Criteria'!K374</f>
        <v>0</v>
      </c>
      <c r="L1928" s="1977" t="s">
        <v>2454</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2455</v>
      </c>
      <c r="C1929" s="478" t="s">
        <v>2749</v>
      </c>
      <c r="D1929" s="2022"/>
      <c r="E1929" s="2022"/>
      <c r="F1929" s="2022"/>
      <c r="G1929" s="2022"/>
      <c r="H1929" s="2022"/>
      <c r="I1929" s="1987" t="s">
        <v>2455</v>
      </c>
      <c r="J1929" s="1889">
        <f>'Part IX A-Scoring Criteria'!J375</f>
        <v>0</v>
      </c>
      <c r="K1929" s="1889">
        <f>'Part IX A-Scoring Criteria'!K375</f>
        <v>0</v>
      </c>
      <c r="L1929" s="1987" t="s">
        <v>2455</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2471</v>
      </c>
      <c r="C1930" s="478" t="s">
        <v>1493</v>
      </c>
      <c r="I1930" s="1977" t="s">
        <v>2471</v>
      </c>
      <c r="J1930" s="1889">
        <f>'Part IX A-Scoring Criteria'!J376</f>
        <v>0</v>
      </c>
      <c r="K1930" s="1889">
        <f>'Part IX A-Scoring Criteria'!K376</f>
        <v>0</v>
      </c>
      <c r="L1930" s="1977" t="s">
        <v>2471</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2472</v>
      </c>
      <c r="C1931" s="478" t="s">
        <v>3645</v>
      </c>
      <c r="I1931" s="1977" t="s">
        <v>2472</v>
      </c>
      <c r="J1931" s="1889">
        <f>'Part IX A-Scoring Criteria'!J377</f>
        <v>0</v>
      </c>
      <c r="K1931" s="1889">
        <f>'Part IX A-Scoring Criteria'!K377</f>
        <v>0</v>
      </c>
      <c r="L1931" s="1977" t="s">
        <v>2472</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2473</v>
      </c>
      <c r="C1932" s="478" t="s">
        <v>4549</v>
      </c>
      <c r="I1932" s="1977" t="s">
        <v>2473</v>
      </c>
      <c r="J1932" s="1889">
        <f>'Part IX A-Scoring Criteria'!J378</f>
        <v>0</v>
      </c>
      <c r="K1932" s="1889">
        <f>'Part IX A-Scoring Criteria'!K378</f>
        <v>0</v>
      </c>
      <c r="L1932" s="1977" t="s">
        <v>2473</v>
      </c>
      <c r="M1932" s="1889">
        <f>'Part IX A-Scoring Criteria'!M378</f>
        <v>0</v>
      </c>
      <c r="N1932" s="1889">
        <f>'Part IX A-Scoring Criteria'!N378</f>
        <v>0</v>
      </c>
      <c r="O1932" s="1889">
        <f>'Part IX A-Scoring Criteria'!O378</f>
        <v>0</v>
      </c>
      <c r="P1932" s="1889">
        <f>'Part IX A-Scoring Criteria'!P378</f>
        <v>0</v>
      </c>
      <c r="R1932" s="1985"/>
    </row>
    <row r="1933" spans="1:26">
      <c r="B1933" s="1977" t="s">
        <v>2474</v>
      </c>
      <c r="C1933" s="478" t="s">
        <v>3646</v>
      </c>
      <c r="I1933" s="1977" t="s">
        <v>2474</v>
      </c>
      <c r="J1933" s="1889">
        <f>'Part IX A-Scoring Criteria'!J379</f>
        <v>0</v>
      </c>
      <c r="K1933" s="1889">
        <f>'Part IX A-Scoring Criteria'!K379</f>
        <v>0</v>
      </c>
      <c r="L1933" s="1977" t="s">
        <v>2474</v>
      </c>
      <c r="M1933" s="1889">
        <f>'Part IX A-Scoring Criteria'!M379</f>
        <v>0</v>
      </c>
      <c r="N1933" s="1889">
        <f>'Part IX A-Scoring Criteria'!N379</f>
        <v>0</v>
      </c>
      <c r="O1933" s="1889">
        <f>'Part IX A-Scoring Criteria'!O379</f>
        <v>0</v>
      </c>
      <c r="P1933" s="1889">
        <f>'Part IX A-Scoring Criteria'!P379</f>
        <v>0</v>
      </c>
      <c r="R1933" s="1985"/>
    </row>
    <row r="1934" spans="1:26">
      <c r="B1934" s="1977" t="s">
        <v>3648</v>
      </c>
      <c r="C1934" s="478" t="s">
        <v>4189</v>
      </c>
      <c r="I1934" s="1977" t="s">
        <v>3648</v>
      </c>
      <c r="J1934" s="1889">
        <f>'Part IX A-Scoring Criteria'!J380</f>
        <v>0</v>
      </c>
      <c r="K1934" s="1889">
        <f>'Part IX A-Scoring Criteria'!K380</f>
        <v>0</v>
      </c>
      <c r="L1934" s="1977" t="s">
        <v>3648</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4827</v>
      </c>
      <c r="H1935" s="1969" t="s">
        <v>2645</v>
      </c>
      <c r="J1935" s="1889">
        <f>SUM(J1925:K1934)</f>
        <v>2000000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2004</v>
      </c>
      <c r="C1937" s="1879" t="s">
        <v>2644</v>
      </c>
      <c r="E1937" s="1872" t="s">
        <v>2646</v>
      </c>
      <c r="H1937" s="1964">
        <f>'Part IX A-Scoring Criteria'!H383</f>
        <v>15349522</v>
      </c>
      <c r="I1937" s="1831"/>
      <c r="J1937" s="1889">
        <f>'Part IV-A-Uses of Funds'!$G$132</f>
        <v>15349522</v>
      </c>
      <c r="K1937" s="1889"/>
      <c r="M1937" s="1622"/>
      <c r="N1937" s="1622"/>
      <c r="P1937" s="1622"/>
    </row>
    <row r="1938" spans="1:26" ht="12.75" customHeight="1">
      <c r="A1938" s="1927" t="s">
        <v>4828</v>
      </c>
      <c r="B1938" s="1927"/>
      <c r="C1938" s="1927"/>
      <c r="D1938" s="1927"/>
      <c r="E1938" s="2010" t="s">
        <v>2647</v>
      </c>
      <c r="H1938" s="2155">
        <f>'Part IX A-Scoring Criteria'!H384</f>
        <v>0.1303</v>
      </c>
      <c r="I1938" s="1831"/>
      <c r="J1938" s="2156">
        <f>IF($J1937=0,0,$J1935/$J1937)</f>
        <v>0.13029721707294858</v>
      </c>
      <c r="K1938" s="2156"/>
      <c r="M1938" s="2156">
        <f>IF($J1937=0,0,$M1935/$J1937)</f>
        <v>0</v>
      </c>
      <c r="N1938" s="2156"/>
      <c r="O1938" s="2156"/>
      <c r="P1938" s="2156"/>
    </row>
    <row r="1939" spans="1:26" ht="15">
      <c r="A1939" s="1927"/>
      <c r="B1939" s="1927"/>
      <c r="C1939" s="1927"/>
      <c r="D1939" s="1927"/>
      <c r="E1939" s="1999" t="s">
        <v>4299</v>
      </c>
      <c r="F1939" s="2022"/>
      <c r="G1939" s="2022"/>
      <c r="H1939" s="1964">
        <f>'Part IX A-Scoring Criteria'!H385</f>
        <v>3</v>
      </c>
      <c r="I1939" s="1831"/>
      <c r="J1939" s="1877">
        <f>IF(L1918="",IF(OR(AND($J1916="Flexible",$J1938&gt;=0.15),AND($J1916="Rural",$J1938&gt;=0.1)), 4,IF(AND($J1916="Flexible",$J1938&gt;=0.1), 3,IF(OR(AND($J1916="Flexible",$J1938&gt;=0.05),AND($J1916="Rural",$J1938&gt;=0.05)), 2,IF(OR(AND($J1916="Flexible",$J1938&gt;=0.02),AND($J1916="Rural",$J1938&gt;=0.02)),1,0)))),0)</f>
        <v>3</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2001</v>
      </c>
      <c r="B1941" s="2045" t="s">
        <v>3649</v>
      </c>
      <c r="C1941" s="2040"/>
      <c r="D1941" s="478"/>
      <c r="E1941" s="478"/>
      <c r="F1941" s="1837"/>
      <c r="G1941" s="2040"/>
      <c r="H1941" s="478"/>
      <c r="I1941" s="1837"/>
      <c r="J1941" s="1872"/>
      <c r="K1941" s="1872"/>
      <c r="L1941" s="1985" t="str">
        <f>IF(OR($O1941=$M1941,$O1941=0,$O1941=""),"","* * Check Score! * *")</f>
        <v/>
      </c>
      <c r="M1941" s="1831">
        <v>1</v>
      </c>
      <c r="N1941" s="1977" t="s">
        <v>2001</v>
      </c>
      <c r="O1941" s="2021">
        <f>'Part IX A-Scoring Criteria'!O387</f>
        <v>0</v>
      </c>
      <c r="P1941" s="2021">
        <f>'Part IX A-Scoring Criteria'!P387</f>
        <v>0</v>
      </c>
      <c r="Q1941" s="1837" t="s">
        <v>443</v>
      </c>
      <c r="R1941" s="2105" t="s">
        <v>2724</v>
      </c>
      <c r="S1941" s="2040"/>
      <c r="T1941" s="2040"/>
      <c r="U1941" s="2040"/>
      <c r="V1941" s="2089"/>
      <c r="W1941" s="2089"/>
      <c r="X1941" s="2040"/>
      <c r="Y1941" s="2040"/>
      <c r="Z1941" s="2040"/>
    </row>
    <row r="1942" spans="1:26" ht="18.75" customHeight="1">
      <c r="A1942" s="1855"/>
      <c r="B1942" s="1987" t="s">
        <v>2451</v>
      </c>
      <c r="C1942" s="1936" t="s">
        <v>4108</v>
      </c>
      <c r="D1942" s="1936"/>
      <c r="E1942" s="1936"/>
      <c r="F1942" s="1936"/>
      <c r="G1942" s="1936"/>
      <c r="H1942" s="1936"/>
      <c r="I1942" s="1936"/>
      <c r="J1942" s="1936"/>
      <c r="K1942" s="1936"/>
      <c r="L1942" s="1936"/>
      <c r="M1942" s="1936"/>
      <c r="N1942" s="1987" t="s">
        <v>2451</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2452</v>
      </c>
      <c r="C1943" s="478" t="s">
        <v>3829</v>
      </c>
      <c r="D1943" s="478"/>
      <c r="E1943" s="478"/>
      <c r="F1943" s="478"/>
      <c r="G1943" s="478"/>
      <c r="H1943" s="478"/>
      <c r="I1943" s="478"/>
      <c r="J1943" s="478"/>
      <c r="K1943" s="478"/>
      <c r="L1943" s="2022"/>
      <c r="M1943" s="478"/>
      <c r="N1943" s="1987" t="s">
        <v>2452</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2453</v>
      </c>
      <c r="C1944" s="1156" t="s">
        <v>4109</v>
      </c>
      <c r="N1944" s="1977" t="s">
        <v>2453</v>
      </c>
      <c r="O1944" s="1942">
        <f>'Part IX A-Scoring Criteria'!O390</f>
        <v>0</v>
      </c>
      <c r="P1944" s="1942">
        <f>'Part IX A-Scoring Criteria'!P390</f>
        <v>0</v>
      </c>
    </row>
    <row r="1945" spans="1:26">
      <c r="B1945" s="2041" t="s">
        <v>3780</v>
      </c>
      <c r="N1945" s="1824"/>
      <c r="O1945" s="1826"/>
      <c r="P1945" s="1826"/>
    </row>
    <row r="1946" spans="1:26" ht="180">
      <c r="A1946" s="1936" t="str">
        <f>'Part IX A-Scoring Criteria'!A392</f>
        <v>The HOME Commitment is included in Tab 40 and shows a $2,000,000 loan.  This amount represents 13% of the TDC of $15,349,522.  We qualify for 3 points.</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1880</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4150</v>
      </c>
      <c r="B1950" s="2022"/>
      <c r="C1950" s="2024" t="s">
        <v>2737</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1999</v>
      </c>
      <c r="B1951" s="1844" t="s">
        <v>3675</v>
      </c>
      <c r="C1951" s="2022"/>
      <c r="D1951" s="1629"/>
      <c r="E1951" s="1629"/>
      <c r="F1951" s="1629"/>
      <c r="G1951" s="2022"/>
      <c r="H1951" s="2022"/>
      <c r="I1951" s="2022"/>
      <c r="J1951" s="1872" t="s">
        <v>3840</v>
      </c>
      <c r="K1951" s="2022"/>
      <c r="L1951" s="1909">
        <f>'Part VI-Revenues &amp; Expenses'!$O$62*0.1</f>
        <v>12.3</v>
      </c>
      <c r="M1951" s="1828">
        <v>2</v>
      </c>
      <c r="N1951" s="1977" t="s">
        <v>1999</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2002</v>
      </c>
      <c r="C1952" s="1936" t="s">
        <v>3839</v>
      </c>
      <c r="D1952" s="1936"/>
      <c r="E1952" s="1936"/>
      <c r="F1952" s="1936"/>
      <c r="G1952" s="1936"/>
      <c r="H1952" s="1936"/>
      <c r="I1952" s="1936"/>
      <c r="J1952" s="1872" t="s">
        <v>3842</v>
      </c>
      <c r="K1952" s="2022"/>
      <c r="L1952" s="1909">
        <f>'Part VI-Revenues &amp; Expenses'!$O$58</f>
        <v>123</v>
      </c>
      <c r="M1952" s="1861" t="str">
        <f>IF(L1954&lt;L1953,"Check 1BR LI count!","")</f>
        <v/>
      </c>
      <c r="N1952" s="2048" t="s">
        <v>2002</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3843</v>
      </c>
      <c r="K1953" s="2073"/>
      <c r="L1953" s="1909">
        <f>L1952*0.1</f>
        <v>12.3</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3844</v>
      </c>
      <c r="K1954" s="2073"/>
      <c r="L1954" s="1909">
        <f>'Part VI-Revenues &amp; Expenses'!$K$58</f>
        <v>28</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2004</v>
      </c>
      <c r="C1955" s="1936" t="s">
        <v>3416</v>
      </c>
      <c r="D1955" s="1936"/>
      <c r="E1955" s="1936"/>
      <c r="F1955" s="1936"/>
      <c r="G1955" s="1936"/>
      <c r="H1955" s="1936"/>
      <c r="I1955" s="1936"/>
      <c r="J1955" s="1936"/>
      <c r="K1955" s="1936"/>
      <c r="L1955" s="1936"/>
      <c r="M1955" s="1936"/>
      <c r="N1955" s="2048" t="s">
        <v>2004</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2551</v>
      </c>
      <c r="C1956" s="1936" t="s">
        <v>3841</v>
      </c>
      <c r="D1956" s="1936"/>
      <c r="E1956" s="1936"/>
      <c r="F1956" s="1936"/>
      <c r="G1956" s="1936"/>
      <c r="H1956" s="1936"/>
      <c r="I1956" s="1936"/>
      <c r="J1956" s="1936"/>
      <c r="K1956" s="1936"/>
      <c r="L1956" s="1936"/>
      <c r="M1956" s="1936"/>
      <c r="N1956" s="2048" t="s">
        <v>2551</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3838</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2001</v>
      </c>
      <c r="B1959" s="1844" t="s">
        <v>2738</v>
      </c>
      <c r="C1959" s="2022"/>
      <c r="D1959" s="1872"/>
      <c r="E1959" s="2022"/>
      <c r="F1959" s="2022"/>
      <c r="G1959" s="478"/>
      <c r="H1959" s="2022"/>
      <c r="I1959" s="2022"/>
      <c r="J1959" s="2022"/>
      <c r="K1959" s="2022"/>
      <c r="L1959" s="2022"/>
      <c r="M1959" s="1828">
        <v>3</v>
      </c>
      <c r="N1959" s="1977" t="s">
        <v>2001</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2002</v>
      </c>
      <c r="C1960" s="1936" t="s">
        <v>3861</v>
      </c>
      <c r="D1960" s="1936"/>
      <c r="E1960" s="1936"/>
      <c r="F1960" s="1936"/>
      <c r="G1960" s="1936"/>
      <c r="H1960" s="1936"/>
      <c r="I1960" s="1936"/>
      <c r="J1960" s="1936"/>
      <c r="K1960" s="1936"/>
      <c r="L1960" s="1936"/>
      <c r="M1960" s="1936"/>
      <c r="N1960" s="2048" t="s">
        <v>2002</v>
      </c>
      <c r="O1960" s="1988">
        <f>'Part IX A-Scoring Criteria'!O406</f>
        <v>0</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3680</v>
      </c>
      <c r="D1961" s="1939"/>
      <c r="E1961" s="1939"/>
      <c r="F1961" s="1939"/>
      <c r="G1961" s="1707">
        <f>'Part IX A-Scoring Criteria'!G407</f>
        <v>0</v>
      </c>
      <c r="H1961" s="1707">
        <f>'Part IX A-Scoring Criteria'!H407</f>
        <v>0</v>
      </c>
      <c r="I1961" s="1707">
        <f>'Part IX A-Scoring Criteria'!I407</f>
        <v>0</v>
      </c>
      <c r="J1961" s="2157" t="s">
        <v>3681</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2004</v>
      </c>
      <c r="C1962" s="1961" t="s">
        <v>3417</v>
      </c>
      <c r="D1962" s="1961"/>
      <c r="E1962" s="1961"/>
      <c r="F1962" s="1961"/>
      <c r="G1962" s="1961"/>
      <c r="H1962" s="1961"/>
      <c r="I1962" s="1961"/>
      <c r="J1962" s="1961" t="s">
        <v>3679</v>
      </c>
      <c r="K1962" s="1961"/>
      <c r="L1962" s="1909">
        <v>0</v>
      </c>
      <c r="M1962" s="2159">
        <f>IF('Part VI-Revenues &amp; Expenses'!$O$62=0,0,L1962/'Part VI-Revenues &amp; Expenses'!$O$62)</f>
        <v>0</v>
      </c>
      <c r="N1962" s="2048" t="s">
        <v>2004</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3780</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157.5">
      <c r="A1964" s="1936" t="str">
        <f>'Part IX A-Scoring Criteria'!A410</f>
        <v>We agree to accept Section 811 PBRA on up to 10% of our units.  Please note that 22.7% of our units are one bedrooms.  We are entitled to 2 points.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1880</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4153</v>
      </c>
      <c r="B1968" s="2024" t="s">
        <v>2739</v>
      </c>
      <c r="C1968" s="2022"/>
      <c r="D1968" s="1872"/>
      <c r="E1968" s="2022"/>
      <c r="F1968" s="2022"/>
      <c r="G1968" s="2071" t="s">
        <v>3413</v>
      </c>
      <c r="H1968" s="2022"/>
      <c r="I1968" s="2022"/>
      <c r="J1968" s="478" t="s">
        <v>3419</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3485</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2850</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1999</v>
      </c>
      <c r="B1972" s="1933" t="s">
        <v>4829</v>
      </c>
      <c r="C1972" s="1961"/>
      <c r="D1972" s="1961"/>
      <c r="E1972" s="1961"/>
      <c r="F1972" s="1961"/>
      <c r="G1972" s="1961"/>
      <c r="H1972" s="1961"/>
      <c r="I1972" s="1961"/>
      <c r="J1972" s="2073"/>
      <c r="K1972" s="2073"/>
      <c r="L1972" s="2073"/>
      <c r="M1972" s="2075">
        <v>1</v>
      </c>
      <c r="N1972" s="1987" t="s">
        <v>1999</v>
      </c>
      <c r="O1972" s="2021">
        <f>'Part IX A-Scoring Criteria'!O418</f>
        <v>0</v>
      </c>
      <c r="P1972" s="2021">
        <f>'Part IX A-Scoring Criteria'!P418</f>
        <v>0</v>
      </c>
      <c r="Q1972" s="2061" t="str">
        <f>IF(OR($O1972=$M1972,$O1972=0,$O1972=""),"","*CHECK!*")</f>
        <v/>
      </c>
      <c r="R1972" s="2105" t="s">
        <v>2724</v>
      </c>
      <c r="S1972" s="2073"/>
      <c r="T1972" s="2073"/>
      <c r="U1972" s="2073"/>
      <c r="V1972" s="2073"/>
      <c r="W1972" s="2073"/>
      <c r="X1972" s="2073"/>
      <c r="Y1972" s="2073"/>
      <c r="Z1972" s="2073"/>
    </row>
    <row r="1973" spans="1:26" ht="15" customHeight="1">
      <c r="A1973" s="2079"/>
      <c r="B1973" s="1901" t="s">
        <v>4247</v>
      </c>
      <c r="C1973" s="1901"/>
      <c r="D1973" s="1901"/>
      <c r="E1973" s="1901"/>
      <c r="F1973" s="1901"/>
      <c r="G1973" s="1901"/>
      <c r="H1973" s="1901"/>
      <c r="I1973" s="1901"/>
      <c r="J1973" s="1901"/>
      <c r="K1973" s="1901"/>
      <c r="L1973" s="1901"/>
      <c r="M1973" s="1936" t="s">
        <v>4830</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2848</v>
      </c>
      <c r="N1975" s="2075"/>
      <c r="O1975" s="2161">
        <f>'Part VI-Revenues &amp; Expenses'!$O$62</f>
        <v>123</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2849</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4831</v>
      </c>
      <c r="B1979" s="1932" t="s">
        <v>3379</v>
      </c>
      <c r="C1979" s="1961"/>
      <c r="D1979" s="2073"/>
      <c r="E1979" s="2073"/>
      <c r="F1979" s="2073"/>
      <c r="G1979" s="2073"/>
      <c r="H1979" s="1961"/>
      <c r="I1979" s="2073"/>
      <c r="J1979" s="2073"/>
      <c r="K1979" s="2073"/>
      <c r="L1979" s="2073"/>
      <c r="M1979" s="2075">
        <v>1</v>
      </c>
      <c r="N1979" s="1987" t="s">
        <v>2001</v>
      </c>
      <c r="O1979" s="2021">
        <f>'Part IX A-Scoring Criteria'!O425</f>
        <v>0</v>
      </c>
      <c r="P1979" s="2021">
        <f>'Part IX A-Scoring Criteria'!P425</f>
        <v>0</v>
      </c>
      <c r="Q1979" s="2061" t="str">
        <f>IF(OR($O1979=$M1979,$O1979=0,$O1979=""),"","*CHECK!*")</f>
        <v/>
      </c>
      <c r="R1979" s="2105" t="s">
        <v>2724</v>
      </c>
      <c r="S1979" s="2073"/>
      <c r="T1979" s="2073"/>
      <c r="U1979" s="2073"/>
      <c r="V1979" s="2073"/>
      <c r="W1979" s="2073"/>
      <c r="X1979" s="2073"/>
      <c r="Y1979" s="2073"/>
      <c r="Z1979" s="2073"/>
    </row>
    <row r="1980" spans="1:26" ht="15" customHeight="1">
      <c r="A1980" s="2163"/>
      <c r="B1980" s="1936" t="s">
        <v>4248</v>
      </c>
      <c r="C1980" s="1936"/>
      <c r="D1980" s="1936"/>
      <c r="E1980" s="1936"/>
      <c r="F1980" s="1936"/>
      <c r="G1980" s="1936"/>
      <c r="H1980" s="1936"/>
      <c r="I1980" s="1936"/>
      <c r="J1980" s="1936"/>
      <c r="K1980" s="1936"/>
      <c r="L1980" s="1936"/>
      <c r="M1980" s="1996" t="s">
        <v>2848</v>
      </c>
      <c r="N1980" s="2075"/>
      <c r="O1980" s="2161">
        <f>'Part VI-Revenues &amp; Expenses'!$O$62</f>
        <v>123</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2849</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3780</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15.75">
      <c r="A1983" s="1936">
        <f>'Part IX A-Scoring Criteria'!A429</f>
        <v>0</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1880</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4154</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3683</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3684</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3685</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1880</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52</v>
      </c>
      <c r="P1995" s="2166">
        <f>P1562+P1597+P1611+P1621+P1648+P1665+P1707+P1743+P1782+P1824+P1840+P1848+P1870+P1878+P1891+P1900+P1916+P1950+P1968+P1987</f>
        <v>20</v>
      </c>
      <c r="Q1995" s="1629"/>
      <c r="R1995" s="1877">
        <f>'Part IX A-Scoring Criteria'!O441</f>
        <v>52</v>
      </c>
      <c r="S1995" s="1629"/>
      <c r="T1995" s="1629"/>
      <c r="U1995" s="1629"/>
      <c r="V1995" s="1629"/>
      <c r="W1995" s="1629"/>
      <c r="X1995" s="1629"/>
      <c r="Y1995" s="1629"/>
      <c r="Z1995" s="1629"/>
    </row>
    <row r="1996" spans="1:26" ht="15.75">
      <c r="A1996" s="2022"/>
      <c r="B1996" s="2164"/>
      <c r="C1996" s="2022"/>
      <c r="F1996" s="2020"/>
      <c r="G1996" s="2020"/>
      <c r="H1996" s="1844" t="s">
        <v>4242</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4243</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4251</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3715</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409.5">
      <c r="A2001" s="1936" t="str">
        <f>'Part IX A-Scoring Criteria'!A447</f>
        <v>I. Application Completeness: All information necessary for a complete application has been submitted to DCA. We qualify for the full 10 points.
II.A.2. Deeper Targeting through Rent Restrictions:  25 units - 20% of the total 123 units will be rent and income restricted for households earning no more than 50% of AMI.  This qualifies us for 2 pts.
IV.A. 2. and 3.  Transit-Oriented Development: The site is .7 miles from the West Lake Transit Station, as evidenced by the map included in Tab 28.  Also included in this tab is a photo of the transit station with its address, cost of the service,  a maps for the transit line and two of the four connecting bus routes as well as the schedules.  This qualifies us for 4 points; an additional 1 pt. is awarded, because we are a family property with a setaside for supportive housing.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by HABESHA Works.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4256</v>
      </c>
    </row>
    <row r="2010" spans="1:26" ht="16.5">
      <c r="A2010" s="2169" t="str">
        <f>'Part I-Project Information'!$F$34</f>
        <v>Heritage Village at West Lake</v>
      </c>
    </row>
    <row r="2011" spans="1:26" ht="16.5">
      <c r="A2011" s="2169" t="str">
        <f>CONCATENATE('Part I-Project Information'!$F$38,", ", 'Part I-Project Information'!$J$39," County")</f>
        <v>Atlanta, Fulton County</v>
      </c>
    </row>
    <row r="2013" spans="1:26" ht="12.75" customHeight="1">
      <c r="A2013" s="1621" t="str">
        <f>'Pt IX B-Healthy Housg Init Narr'!A5</f>
        <v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Heritage Village.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Heritage Village is located, CDC’s 500 Cities data estimate that 16% of adults have high numbers of poor mental health days (14 or more in a given month).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Heritage Village. Our on-site garden and nutrition programming from HABESHA will further enhance this comprehensive approach by providing environmental and educational supports to instill healthy eating habits in residents of all ages.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99qjPaj9zxG86EmjIY2dAc7bLjQBSPHGMmhHRUhL5BwkUm/AP1/qoWtNyJ6lkuMQ4WOU3d4TKUXB5N/1MatHQ==" saltValue="aRwPvuNkZav3SVyQtz6ld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31" t="str">
        <f>CONCATENATE("PART TWO - DEVELOPMENT TEAM INFORMATION","  -  ",'Part I-Project Information'!$O$6," ",'Part I-Project Information'!$F$34,", ",'Part I-Project Information'!F38,", ",'Part I-Project Information'!J39," County")</f>
        <v>PART TWO - DEVELOPMENT TEAM INFORMATION  -  2018-017 Heritage Village at West Lake, Atlanta, Fulton County</v>
      </c>
      <c r="B1" s="2632"/>
      <c r="C1" s="2632"/>
      <c r="D1" s="2632"/>
      <c r="E1" s="2632"/>
      <c r="F1" s="2632"/>
      <c r="G1" s="2632"/>
      <c r="H1" s="2632"/>
      <c r="I1" s="2632"/>
      <c r="J1" s="2632"/>
      <c r="K1" s="2632"/>
      <c r="L1" s="2632"/>
      <c r="M1" s="2632"/>
      <c r="N1" s="2632"/>
      <c r="O1" s="2632"/>
      <c r="P1" s="2632"/>
      <c r="Q1" s="2632"/>
      <c r="R1" s="2632"/>
      <c r="S1" s="2633"/>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475" t="s">
        <v>4656</v>
      </c>
      <c r="I5" s="2624"/>
      <c r="J5" s="2624"/>
      <c r="K5" s="2624"/>
      <c r="L5" s="2624"/>
      <c r="M5" s="2624"/>
      <c r="N5" s="2618"/>
      <c r="O5" s="1559" t="s">
        <v>2005</v>
      </c>
      <c r="P5" s="1559"/>
      <c r="Q5" s="2475" t="s">
        <v>4629</v>
      </c>
      <c r="R5" s="2624"/>
      <c r="S5" s="2618"/>
      <c r="Y5" s="1163"/>
      <c r="Z5" s="1164"/>
      <c r="AA5" s="1570"/>
    </row>
    <row r="6" spans="1:27" s="305" customFormat="1" ht="11.25" customHeight="1">
      <c r="D6" s="348"/>
      <c r="E6" s="310" t="s">
        <v>1031</v>
      </c>
      <c r="F6" s="318"/>
      <c r="H6" s="2475" t="s">
        <v>4631</v>
      </c>
      <c r="I6" s="2624"/>
      <c r="J6" s="2624"/>
      <c r="K6" s="2624"/>
      <c r="L6" s="2624"/>
      <c r="M6" s="2624"/>
      <c r="N6" s="2618"/>
      <c r="O6" s="1559" t="s">
        <v>1760</v>
      </c>
      <c r="Q6" s="2475" t="s">
        <v>4630</v>
      </c>
      <c r="R6" s="2624"/>
      <c r="S6" s="2618"/>
      <c r="V6" s="1163"/>
      <c r="W6" s="1163"/>
      <c r="X6" s="1163"/>
      <c r="Y6" s="1163"/>
      <c r="Z6" s="1164"/>
      <c r="AA6" s="1570"/>
    </row>
    <row r="7" spans="1:27" s="305" customFormat="1" ht="11.25" customHeight="1">
      <c r="D7" s="348"/>
      <c r="E7" s="310" t="s">
        <v>624</v>
      </c>
      <c r="H7" s="2475" t="s">
        <v>1217</v>
      </c>
      <c r="I7" s="2624"/>
      <c r="J7" s="2618"/>
      <c r="K7" s="2373" t="s">
        <v>770</v>
      </c>
      <c r="L7" s="2475"/>
      <c r="M7" s="2624"/>
      <c r="N7" s="2618"/>
      <c r="O7" s="1559" t="s">
        <v>1734</v>
      </c>
      <c r="Q7" s="2621">
        <v>6787055318</v>
      </c>
      <c r="R7" s="2622"/>
      <c r="S7" s="2623"/>
    </row>
    <row r="8" spans="1:27" s="305" customFormat="1" ht="11.25" customHeight="1">
      <c r="D8" s="348"/>
      <c r="E8" s="310" t="s">
        <v>1812</v>
      </c>
      <c r="H8" s="2374" t="s">
        <v>856</v>
      </c>
      <c r="I8" s="1562" t="s">
        <v>2245</v>
      </c>
      <c r="J8" s="2617">
        <v>303143377</v>
      </c>
      <c r="K8" s="2618"/>
      <c r="L8" s="305" t="s">
        <v>3714</v>
      </c>
      <c r="M8" s="2619" t="s">
        <v>2696</v>
      </c>
      <c r="N8" s="2620"/>
      <c r="O8" s="1559" t="s">
        <v>1995</v>
      </c>
      <c r="Q8" s="2621"/>
      <c r="R8" s="2622"/>
      <c r="S8" s="2623"/>
    </row>
    <row r="9" spans="1:27" s="305" customFormat="1" ht="11.25" customHeight="1">
      <c r="D9" s="348"/>
      <c r="E9" s="310" t="s">
        <v>4315</v>
      </c>
      <c r="H9" s="2621"/>
      <c r="I9" s="2623"/>
      <c r="J9" s="2375"/>
      <c r="K9" s="1571" t="s">
        <v>2000</v>
      </c>
      <c r="L9" s="2472" t="s">
        <v>4632</v>
      </c>
      <c r="M9" s="2473"/>
      <c r="N9" s="2473"/>
      <c r="O9" s="2473"/>
      <c r="P9" s="2473"/>
      <c r="Q9" s="2473"/>
      <c r="R9" s="2473"/>
      <c r="S9" s="2474"/>
    </row>
    <row r="10" spans="1:27" s="305" customFormat="1" ht="11.25" customHeight="1">
      <c r="D10" s="348"/>
      <c r="E10" s="1417" t="s">
        <v>4314</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376" t="s">
        <v>1296</v>
      </c>
      <c r="W12" s="2376"/>
      <c r="X12" s="2376"/>
      <c r="Y12" s="2376"/>
      <c r="Z12" s="2376"/>
    </row>
    <row r="13" spans="1:27" s="305" customFormat="1" ht="11.25" customHeight="1">
      <c r="C13" s="350" t="s">
        <v>2002</v>
      </c>
      <c r="D13" s="347" t="s">
        <v>2003</v>
      </c>
      <c r="H13" s="1570"/>
      <c r="I13" s="1570"/>
      <c r="J13" s="1570"/>
      <c r="N13" s="1165"/>
      <c r="W13" s="2377"/>
      <c r="X13" s="2377"/>
      <c r="Y13" s="2377"/>
      <c r="Z13" s="2377"/>
    </row>
    <row r="14" spans="1:27" s="305" customFormat="1" ht="11.25" customHeight="1">
      <c r="D14" s="307" t="s">
        <v>2132</v>
      </c>
      <c r="E14" s="305" t="s">
        <v>1870</v>
      </c>
      <c r="H14" s="2475" t="s">
        <v>4660</v>
      </c>
      <c r="I14" s="2624"/>
      <c r="J14" s="2624"/>
      <c r="K14" s="2624"/>
      <c r="L14" s="2624"/>
      <c r="M14" s="2624"/>
      <c r="N14" s="2618"/>
      <c r="O14" s="1559" t="s">
        <v>2005</v>
      </c>
      <c r="P14" s="1559"/>
      <c r="Q14" s="2475" t="s">
        <v>4629</v>
      </c>
      <c r="R14" s="2624"/>
      <c r="S14" s="2618"/>
    </row>
    <row r="15" spans="1:27" s="305" customFormat="1" ht="11.25" customHeight="1">
      <c r="D15" s="348"/>
      <c r="E15" s="310" t="s">
        <v>1031</v>
      </c>
      <c r="F15" s="318"/>
      <c r="H15" s="2475" t="s">
        <v>4631</v>
      </c>
      <c r="I15" s="2624"/>
      <c r="J15" s="2624"/>
      <c r="K15" s="2624"/>
      <c r="L15" s="2624"/>
      <c r="M15" s="2624"/>
      <c r="N15" s="2618"/>
      <c r="O15" s="1559" t="s">
        <v>1760</v>
      </c>
      <c r="Q15" s="2475" t="s">
        <v>4630</v>
      </c>
      <c r="R15" s="2624"/>
      <c r="S15" s="2618"/>
    </row>
    <row r="16" spans="1:27" s="305" customFormat="1" ht="11.25" customHeight="1">
      <c r="D16" s="348"/>
      <c r="E16" s="310" t="s">
        <v>624</v>
      </c>
      <c r="H16" s="2627" t="s">
        <v>1217</v>
      </c>
      <c r="I16" s="2628"/>
      <c r="J16" s="2567"/>
      <c r="K16" s="1561" t="s">
        <v>2722</v>
      </c>
      <c r="L16" s="2627" t="s">
        <v>4635</v>
      </c>
      <c r="M16" s="2628"/>
      <c r="N16" s="2567"/>
      <c r="O16" s="1559" t="s">
        <v>1734</v>
      </c>
      <c r="Q16" s="2621">
        <v>6787055318</v>
      </c>
      <c r="R16" s="2622"/>
      <c r="S16" s="2623"/>
    </row>
    <row r="17" spans="3:19" s="305" customFormat="1" ht="11.25" customHeight="1">
      <c r="D17" s="307"/>
      <c r="E17" s="310" t="s">
        <v>1812</v>
      </c>
      <c r="H17" s="2378" t="s">
        <v>856</v>
      </c>
      <c r="K17" s="1562" t="s">
        <v>2245</v>
      </c>
      <c r="L17" s="2629">
        <v>303143377</v>
      </c>
      <c r="M17" s="2630"/>
      <c r="O17" s="1559" t="s">
        <v>1995</v>
      </c>
      <c r="Q17" s="2621"/>
      <c r="R17" s="2622"/>
      <c r="S17" s="2623"/>
    </row>
    <row r="18" spans="3:19" s="305" customFormat="1" ht="11.25" customHeight="1">
      <c r="D18" s="348"/>
      <c r="E18" s="310" t="s">
        <v>4315</v>
      </c>
      <c r="H18" s="2625"/>
      <c r="I18" s="2626"/>
      <c r="J18" s="2379"/>
      <c r="K18" s="1571" t="s">
        <v>2000</v>
      </c>
      <c r="L18" s="2472" t="s">
        <v>4632</v>
      </c>
      <c r="M18" s="2473"/>
      <c r="N18" s="2473"/>
      <c r="O18" s="2473"/>
      <c r="P18" s="2473"/>
      <c r="Q18" s="2473"/>
      <c r="R18" s="2473"/>
      <c r="S18" s="2474"/>
    </row>
    <row r="19" spans="3:19" ht="4.1500000000000004" customHeight="1">
      <c r="D19" s="333"/>
      <c r="H19" s="2380"/>
      <c r="I19" s="2380"/>
      <c r="J19" s="2380"/>
      <c r="K19" s="1571"/>
      <c r="L19" s="2380"/>
      <c r="M19" s="2380"/>
      <c r="N19" s="1558"/>
      <c r="O19" s="1613"/>
      <c r="P19" s="1613"/>
      <c r="Q19" s="1571"/>
      <c r="R19" s="1613"/>
      <c r="S19" s="1613"/>
    </row>
    <row r="20" spans="3:19" s="305" customFormat="1" ht="11.25" customHeight="1">
      <c r="D20" s="307" t="s">
        <v>2133</v>
      </c>
      <c r="E20" s="305" t="s">
        <v>1871</v>
      </c>
      <c r="F20" s="1570"/>
      <c r="H20" s="2475"/>
      <c r="I20" s="2624"/>
      <c r="J20" s="2624"/>
      <c r="K20" s="2624"/>
      <c r="L20" s="2624"/>
      <c r="M20" s="2624"/>
      <c r="N20" s="2618"/>
      <c r="O20" s="1559" t="s">
        <v>2005</v>
      </c>
      <c r="P20" s="1559"/>
      <c r="Q20" s="2475"/>
      <c r="R20" s="2624"/>
      <c r="S20" s="2618"/>
    </row>
    <row r="21" spans="3:19" s="305" customFormat="1" ht="11.25" customHeight="1">
      <c r="D21" s="348"/>
      <c r="E21" s="310" t="s">
        <v>1031</v>
      </c>
      <c r="F21" s="318"/>
      <c r="H21" s="2475"/>
      <c r="I21" s="2624"/>
      <c r="J21" s="2624"/>
      <c r="K21" s="2624"/>
      <c r="L21" s="2624"/>
      <c r="M21" s="2624"/>
      <c r="N21" s="2618"/>
      <c r="O21" s="1559" t="s">
        <v>1760</v>
      </c>
      <c r="Q21" s="2475"/>
      <c r="R21" s="2624"/>
      <c r="S21" s="2618"/>
    </row>
    <row r="22" spans="3:19" s="305" customFormat="1" ht="11.25" customHeight="1">
      <c r="D22" s="348"/>
      <c r="E22" s="310" t="s">
        <v>624</v>
      </c>
      <c r="H22" s="2627"/>
      <c r="I22" s="2628"/>
      <c r="J22" s="2567"/>
      <c r="K22" s="1561" t="s">
        <v>2722</v>
      </c>
      <c r="L22" s="2475"/>
      <c r="M22" s="2624"/>
      <c r="N22" s="2618"/>
      <c r="O22" s="1559" t="s">
        <v>1734</v>
      </c>
      <c r="Q22" s="2621"/>
      <c r="R22" s="2622"/>
      <c r="S22" s="2623"/>
    </row>
    <row r="23" spans="3:19" s="305" customFormat="1" ht="11.25" customHeight="1">
      <c r="E23" s="310" t="s">
        <v>1812</v>
      </c>
      <c r="H23" s="2378"/>
      <c r="K23" s="1562" t="s">
        <v>2245</v>
      </c>
      <c r="L23" s="2617"/>
      <c r="M23" s="2618"/>
      <c r="O23" s="1559" t="s">
        <v>1995</v>
      </c>
      <c r="Q23" s="2625"/>
      <c r="R23" s="2634"/>
      <c r="S23" s="2626"/>
    </row>
    <row r="24" spans="3:19" s="305" customFormat="1" ht="11.25" customHeight="1">
      <c r="D24" s="348"/>
      <c r="E24" s="310" t="s">
        <v>4315</v>
      </c>
      <c r="H24" s="2625"/>
      <c r="I24" s="2626"/>
      <c r="J24" s="2379"/>
      <c r="K24" s="1571" t="s">
        <v>2000</v>
      </c>
      <c r="L24" s="2472"/>
      <c r="M24" s="2473"/>
      <c r="N24" s="2473"/>
      <c r="O24" s="2473"/>
      <c r="P24" s="2473"/>
      <c r="Q24" s="2473"/>
      <c r="R24" s="2473"/>
      <c r="S24" s="2474"/>
    </row>
    <row r="25" spans="3:19" s="305" customFormat="1" ht="4.1500000000000004" customHeight="1">
      <c r="D25" s="348"/>
      <c r="E25" s="1570"/>
      <c r="F25" s="1570"/>
      <c r="G25" s="1559"/>
      <c r="H25" s="2380"/>
      <c r="I25" s="2380"/>
      <c r="J25" s="2380"/>
      <c r="K25" s="1571"/>
      <c r="L25" s="2380"/>
      <c r="M25" s="2380"/>
      <c r="N25" s="1558"/>
      <c r="O25" s="1613"/>
      <c r="P25" s="1613"/>
      <c r="Q25" s="1571"/>
      <c r="R25" s="1613"/>
      <c r="S25" s="1613"/>
    </row>
    <row r="26" spans="3:19" s="305" customFormat="1" ht="11.25" customHeight="1">
      <c r="D26" s="307" t="s">
        <v>1747</v>
      </c>
      <c r="E26" s="305" t="s">
        <v>1871</v>
      </c>
      <c r="F26" s="1570"/>
      <c r="H26" s="2627"/>
      <c r="I26" s="2628"/>
      <c r="J26" s="2628"/>
      <c r="K26" s="2628"/>
      <c r="L26" s="2628"/>
      <c r="M26" s="2628"/>
      <c r="N26" s="2567"/>
      <c r="O26" s="1559" t="s">
        <v>2005</v>
      </c>
      <c r="P26" s="1559"/>
      <c r="Q26" s="2627"/>
      <c r="R26" s="2628"/>
      <c r="S26" s="2567"/>
    </row>
    <row r="27" spans="3:19" s="305" customFormat="1" ht="11.25" customHeight="1">
      <c r="D27" s="348"/>
      <c r="E27" s="310" t="s">
        <v>1031</v>
      </c>
      <c r="F27" s="318"/>
      <c r="H27" s="2627"/>
      <c r="I27" s="2628"/>
      <c r="J27" s="2628"/>
      <c r="K27" s="2628"/>
      <c r="L27" s="2628"/>
      <c r="M27" s="2628"/>
      <c r="N27" s="2567"/>
      <c r="O27" s="1559" t="s">
        <v>1760</v>
      </c>
      <c r="Q27" s="2627"/>
      <c r="R27" s="2628"/>
      <c r="S27" s="2567"/>
    </row>
    <row r="28" spans="3:19" s="305" customFormat="1" ht="11.25" customHeight="1">
      <c r="D28" s="348"/>
      <c r="E28" s="310" t="s">
        <v>624</v>
      </c>
      <c r="H28" s="2627"/>
      <c r="I28" s="2628"/>
      <c r="J28" s="2567"/>
      <c r="K28" s="1561" t="s">
        <v>2722</v>
      </c>
      <c r="L28" s="2627"/>
      <c r="M28" s="2628"/>
      <c r="N28" s="2567"/>
      <c r="O28" s="1559" t="s">
        <v>1734</v>
      </c>
      <c r="Q28" s="2625"/>
      <c r="R28" s="2634"/>
      <c r="S28" s="2626"/>
    </row>
    <row r="29" spans="3:19" s="305" customFormat="1" ht="11.25" customHeight="1">
      <c r="E29" s="310" t="s">
        <v>1812</v>
      </c>
      <c r="H29" s="2378"/>
      <c r="K29" s="1562" t="s">
        <v>2245</v>
      </c>
      <c r="L29" s="2629"/>
      <c r="M29" s="2630"/>
      <c r="O29" s="1559" t="s">
        <v>1995</v>
      </c>
      <c r="Q29" s="2625"/>
      <c r="R29" s="2634"/>
      <c r="S29" s="2626"/>
    </row>
    <row r="30" spans="3:19" s="305" customFormat="1" ht="11.25" customHeight="1">
      <c r="D30" s="348"/>
      <c r="E30" s="310" t="s">
        <v>4315</v>
      </c>
      <c r="H30" s="2625"/>
      <c r="I30" s="2626"/>
      <c r="J30" s="2379"/>
      <c r="K30" s="1571" t="s">
        <v>2000</v>
      </c>
      <c r="L30" s="2472"/>
      <c r="M30" s="2473"/>
      <c r="N30" s="2473"/>
      <c r="O30" s="2473"/>
      <c r="P30" s="2473"/>
      <c r="Q30" s="2473"/>
      <c r="R30" s="2473"/>
      <c r="S30" s="2474"/>
    </row>
    <row r="31" spans="3:19" ht="4.1500000000000004"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2475" t="s">
        <v>4571</v>
      </c>
      <c r="I33" s="2624"/>
      <c r="J33" s="2624"/>
      <c r="K33" s="2624"/>
      <c r="L33" s="2624"/>
      <c r="M33" s="2624"/>
      <c r="N33" s="2618"/>
      <c r="O33" s="1559" t="s">
        <v>2005</v>
      </c>
      <c r="P33" s="1559"/>
      <c r="Q33" s="2475" t="s">
        <v>4574</v>
      </c>
      <c r="R33" s="2624"/>
      <c r="S33" s="2618"/>
    </row>
    <row r="34" spans="3:19" s="305" customFormat="1" ht="11.25" customHeight="1">
      <c r="D34" s="348"/>
      <c r="E34" s="310" t="s">
        <v>1031</v>
      </c>
      <c r="F34" s="318"/>
      <c r="H34" s="2475" t="s">
        <v>4572</v>
      </c>
      <c r="I34" s="2480"/>
      <c r="J34" s="2480"/>
      <c r="K34" s="2480"/>
      <c r="L34" s="2480"/>
      <c r="M34" s="2480"/>
      <c r="N34" s="2476"/>
      <c r="O34" s="1559" t="s">
        <v>1760</v>
      </c>
      <c r="Q34" s="2475" t="s">
        <v>4575</v>
      </c>
      <c r="R34" s="2480"/>
      <c r="S34" s="2476"/>
    </row>
    <row r="35" spans="3:19" s="305" customFormat="1" ht="11.25" customHeight="1">
      <c r="D35" s="348"/>
      <c r="E35" s="310" t="s">
        <v>624</v>
      </c>
      <c r="H35" s="2475" t="s">
        <v>1217</v>
      </c>
      <c r="I35" s="2624"/>
      <c r="J35" s="2618"/>
      <c r="K35" s="1561" t="s">
        <v>2722</v>
      </c>
      <c r="L35" s="2475" t="s">
        <v>4573</v>
      </c>
      <c r="M35" s="2624"/>
      <c r="N35" s="2618"/>
      <c r="O35" s="1559" t="s">
        <v>1734</v>
      </c>
      <c r="Q35" s="2621">
        <v>4045888775</v>
      </c>
      <c r="R35" s="2622"/>
      <c r="S35" s="2623"/>
    </row>
    <row r="36" spans="3:19" s="305" customFormat="1" ht="11.25" customHeight="1">
      <c r="E36" s="310" t="s">
        <v>1812</v>
      </c>
      <c r="H36" s="2378" t="s">
        <v>856</v>
      </c>
      <c r="K36" s="1562" t="s">
        <v>2245</v>
      </c>
      <c r="L36" s="2617">
        <v>303097720</v>
      </c>
      <c r="M36" s="2618"/>
      <c r="O36" s="1559" t="s">
        <v>1995</v>
      </c>
      <c r="Q36" s="2621"/>
      <c r="R36" s="2622"/>
      <c r="S36" s="2623"/>
    </row>
    <row r="37" spans="3:19" s="305" customFormat="1" ht="11.25" customHeight="1">
      <c r="D37" s="348"/>
      <c r="E37" s="310" t="s">
        <v>4315</v>
      </c>
      <c r="H37" s="2625"/>
      <c r="I37" s="2626"/>
      <c r="J37" s="2379"/>
      <c r="K37" s="1571" t="s">
        <v>2000</v>
      </c>
      <c r="L37" s="2472" t="s">
        <v>4576</v>
      </c>
      <c r="M37" s="2473"/>
      <c r="N37" s="2473"/>
      <c r="O37" s="2473"/>
      <c r="P37" s="2473"/>
      <c r="Q37" s="2473"/>
      <c r="R37" s="2473"/>
      <c r="S37" s="2474"/>
    </row>
    <row r="38" spans="3:19" ht="4.1500000000000004" customHeight="1">
      <c r="H38" s="2380"/>
      <c r="I38" s="2380"/>
      <c r="J38" s="2380"/>
      <c r="K38" s="1571"/>
      <c r="L38" s="2380"/>
      <c r="M38" s="2380"/>
      <c r="N38" s="1558"/>
      <c r="O38" s="1613"/>
      <c r="P38" s="1613"/>
      <c r="Q38" s="1571"/>
      <c r="R38" s="1613"/>
      <c r="S38" s="1613"/>
    </row>
    <row r="39" spans="3:19" s="305" customFormat="1" ht="11.25" customHeight="1">
      <c r="D39" s="307" t="s">
        <v>2133</v>
      </c>
      <c r="E39" s="305" t="s">
        <v>759</v>
      </c>
      <c r="F39" s="307"/>
      <c r="H39" s="2475" t="s">
        <v>4571</v>
      </c>
      <c r="I39" s="2624"/>
      <c r="J39" s="2624"/>
      <c r="K39" s="2624"/>
      <c r="L39" s="2624"/>
      <c r="M39" s="2624"/>
      <c r="N39" s="2618"/>
      <c r="O39" s="1559" t="s">
        <v>2005</v>
      </c>
      <c r="P39" s="1559"/>
      <c r="Q39" s="2475" t="s">
        <v>4574</v>
      </c>
      <c r="R39" s="2624"/>
      <c r="S39" s="2618"/>
    </row>
    <row r="40" spans="3:19" s="305" customFormat="1" ht="11.25" customHeight="1">
      <c r="D40" s="348"/>
      <c r="E40" s="310" t="s">
        <v>1031</v>
      </c>
      <c r="F40" s="318"/>
      <c r="H40" s="2475" t="s">
        <v>4572</v>
      </c>
      <c r="I40" s="2480"/>
      <c r="J40" s="2480"/>
      <c r="K40" s="2480"/>
      <c r="L40" s="2480"/>
      <c r="M40" s="2480"/>
      <c r="N40" s="2476"/>
      <c r="O40" s="1559" t="s">
        <v>1760</v>
      </c>
      <c r="Q40" s="2475" t="s">
        <v>4575</v>
      </c>
      <c r="R40" s="2480"/>
      <c r="S40" s="2476"/>
    </row>
    <row r="41" spans="3:19" s="305" customFormat="1" ht="11.25" customHeight="1">
      <c r="D41" s="348"/>
      <c r="E41" s="310" t="s">
        <v>624</v>
      </c>
      <c r="H41" s="2475" t="s">
        <v>1217</v>
      </c>
      <c r="I41" s="2624"/>
      <c r="J41" s="2618"/>
      <c r="K41" s="1561" t="s">
        <v>2722</v>
      </c>
      <c r="L41" s="2475" t="s">
        <v>4573</v>
      </c>
      <c r="M41" s="2624"/>
      <c r="N41" s="2618"/>
      <c r="O41" s="1559" t="s">
        <v>1734</v>
      </c>
      <c r="Q41" s="2621">
        <v>4045888775</v>
      </c>
      <c r="R41" s="2622"/>
      <c r="S41" s="2623"/>
    </row>
    <row r="42" spans="3:19" s="305" customFormat="1" ht="11.25" customHeight="1">
      <c r="D42" s="307"/>
      <c r="E42" s="310" t="s">
        <v>1812</v>
      </c>
      <c r="H42" s="2378" t="s">
        <v>856</v>
      </c>
      <c r="K42" s="1562" t="s">
        <v>2245</v>
      </c>
      <c r="L42" s="2617">
        <v>303097720</v>
      </c>
      <c r="M42" s="2618"/>
      <c r="O42" s="1559" t="s">
        <v>1995</v>
      </c>
      <c r="Q42" s="2621"/>
      <c r="R42" s="2622"/>
      <c r="S42" s="2623"/>
    </row>
    <row r="43" spans="3:19" s="305" customFormat="1" ht="11.25" customHeight="1">
      <c r="D43" s="348"/>
      <c r="E43" s="310" t="s">
        <v>4315</v>
      </c>
      <c r="H43" s="2625"/>
      <c r="I43" s="2626"/>
      <c r="J43" s="2379"/>
      <c r="K43" s="1571" t="s">
        <v>2000</v>
      </c>
      <c r="L43" s="2472" t="s">
        <v>4576</v>
      </c>
      <c r="M43" s="2473"/>
      <c r="N43" s="2473"/>
      <c r="O43" s="2473"/>
      <c r="P43" s="2473"/>
      <c r="Q43" s="2473"/>
      <c r="R43" s="2473"/>
      <c r="S43" s="2474"/>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2627"/>
      <c r="I46" s="2628"/>
      <c r="J46" s="2628"/>
      <c r="K46" s="2628"/>
      <c r="L46" s="2628"/>
      <c r="M46" s="2628"/>
      <c r="N46" s="2567"/>
      <c r="O46" s="1559" t="s">
        <v>2005</v>
      </c>
      <c r="P46" s="1559"/>
      <c r="Q46" s="2627"/>
      <c r="R46" s="2628"/>
      <c r="S46" s="2567"/>
    </row>
    <row r="47" spans="3:19" s="305" customFormat="1" ht="11.25" customHeight="1">
      <c r="D47" s="348"/>
      <c r="E47" s="310" t="s">
        <v>1031</v>
      </c>
      <c r="F47" s="318"/>
      <c r="H47" s="2627"/>
      <c r="I47" s="2628"/>
      <c r="J47" s="2628"/>
      <c r="K47" s="2628"/>
      <c r="L47" s="2628"/>
      <c r="M47" s="2628"/>
      <c r="N47" s="2567"/>
      <c r="O47" s="1559" t="s">
        <v>1760</v>
      </c>
      <c r="Q47" s="2627"/>
      <c r="R47" s="2628"/>
      <c r="S47" s="2567"/>
    </row>
    <row r="48" spans="3:19" s="305" customFormat="1" ht="11.25" customHeight="1">
      <c r="D48" s="348"/>
      <c r="E48" s="310" t="s">
        <v>624</v>
      </c>
      <c r="H48" s="2627"/>
      <c r="I48" s="2628"/>
      <c r="J48" s="2567"/>
      <c r="K48" s="1561" t="s">
        <v>2722</v>
      </c>
      <c r="L48" s="2627"/>
      <c r="M48" s="2628"/>
      <c r="N48" s="2567"/>
      <c r="O48" s="1559" t="s">
        <v>1734</v>
      </c>
      <c r="Q48" s="2625"/>
      <c r="R48" s="2634"/>
      <c r="S48" s="2626"/>
    </row>
    <row r="49" spans="1:19" s="305" customFormat="1" ht="11.25" customHeight="1">
      <c r="E49" s="310" t="s">
        <v>1812</v>
      </c>
      <c r="H49" s="2378"/>
      <c r="K49" s="1562" t="s">
        <v>2245</v>
      </c>
      <c r="L49" s="2629"/>
      <c r="M49" s="2630"/>
      <c r="O49" s="1559" t="s">
        <v>1995</v>
      </c>
      <c r="Q49" s="2625"/>
      <c r="R49" s="2634"/>
      <c r="S49" s="2626"/>
    </row>
    <row r="50" spans="1:19" s="305" customFormat="1" ht="11.25" customHeight="1">
      <c r="D50" s="348"/>
      <c r="E50" s="310" t="s">
        <v>4315</v>
      </c>
      <c r="H50" s="2625"/>
      <c r="I50" s="2626"/>
      <c r="J50" s="2379"/>
      <c r="K50" s="1571" t="s">
        <v>2000</v>
      </c>
      <c r="L50" s="2472"/>
      <c r="M50" s="2473"/>
      <c r="N50" s="2473"/>
      <c r="O50" s="2473"/>
      <c r="P50" s="2473"/>
      <c r="Q50" s="2473"/>
      <c r="R50" s="2473"/>
      <c r="S50" s="2474"/>
    </row>
    <row r="51" spans="1:19" ht="6.75" customHeight="1"/>
    <row r="52" spans="1:19" s="305" customFormat="1" ht="13.1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2381"/>
      <c r="I53" s="2381"/>
      <c r="J53" s="2381"/>
      <c r="K53" s="1558"/>
      <c r="L53" s="2381"/>
      <c r="M53" s="2381"/>
      <c r="N53" s="1558"/>
      <c r="O53" s="1613"/>
      <c r="P53" s="1613"/>
      <c r="Q53" s="1571"/>
      <c r="R53" s="1613"/>
      <c r="S53" s="1613"/>
    </row>
    <row r="54" spans="1:19" s="305" customFormat="1" ht="11.25" customHeight="1">
      <c r="B54" s="307" t="s">
        <v>1999</v>
      </c>
      <c r="C54" s="307" t="s">
        <v>284</v>
      </c>
      <c r="H54" s="2475" t="s">
        <v>4577</v>
      </c>
      <c r="I54" s="2624"/>
      <c r="J54" s="2624"/>
      <c r="K54" s="2624"/>
      <c r="L54" s="2624"/>
      <c r="M54" s="2624"/>
      <c r="N54" s="2618"/>
      <c r="O54" s="1559" t="s">
        <v>2005</v>
      </c>
      <c r="P54" s="1559"/>
      <c r="Q54" s="2475" t="s">
        <v>4568</v>
      </c>
      <c r="R54" s="2624"/>
      <c r="S54" s="2618"/>
    </row>
    <row r="55" spans="1:19" s="305" customFormat="1" ht="11.25" customHeight="1">
      <c r="D55" s="348"/>
      <c r="E55" s="310" t="s">
        <v>1031</v>
      </c>
      <c r="F55" s="318"/>
      <c r="H55" s="2475" t="s">
        <v>4578</v>
      </c>
      <c r="I55" s="2624"/>
      <c r="J55" s="2624"/>
      <c r="K55" s="2624"/>
      <c r="L55" s="2624"/>
      <c r="M55" s="2624"/>
      <c r="N55" s="2618"/>
      <c r="O55" s="1559" t="s">
        <v>1760</v>
      </c>
      <c r="Q55" s="2475" t="s">
        <v>4556</v>
      </c>
      <c r="R55" s="2624"/>
      <c r="S55" s="2618"/>
    </row>
    <row r="56" spans="1:19" s="305" customFormat="1" ht="11.25" customHeight="1">
      <c r="D56" s="348"/>
      <c r="E56" s="310" t="s">
        <v>624</v>
      </c>
      <c r="H56" s="2475" t="s">
        <v>1217</v>
      </c>
      <c r="I56" s="2624"/>
      <c r="J56" s="2618"/>
      <c r="K56" s="1561" t="s">
        <v>2722</v>
      </c>
      <c r="L56" s="2475" t="s">
        <v>4570</v>
      </c>
      <c r="M56" s="2624"/>
      <c r="N56" s="2618"/>
      <c r="O56" s="1559" t="s">
        <v>1815</v>
      </c>
      <c r="Q56" s="2621">
        <v>4044191432</v>
      </c>
      <c r="R56" s="2622"/>
      <c r="S56" s="2623"/>
    </row>
    <row r="57" spans="1:19" s="305" customFormat="1" ht="11.25" customHeight="1">
      <c r="E57" s="310" t="s">
        <v>1812</v>
      </c>
      <c r="H57" s="2378" t="s">
        <v>856</v>
      </c>
      <c r="K57" s="1562" t="s">
        <v>2245</v>
      </c>
      <c r="L57" s="2617">
        <v>303092496</v>
      </c>
      <c r="M57" s="2618"/>
      <c r="O57" s="1559" t="s">
        <v>1995</v>
      </c>
      <c r="Q57" s="2621">
        <v>4047838060</v>
      </c>
      <c r="R57" s="2622"/>
      <c r="S57" s="2623"/>
    </row>
    <row r="58" spans="1:19" s="305" customFormat="1" ht="11.25" customHeight="1">
      <c r="D58" s="348"/>
      <c r="E58" s="310" t="s">
        <v>4315</v>
      </c>
      <c r="H58" s="2625"/>
      <c r="I58" s="2626"/>
      <c r="J58" s="2379"/>
      <c r="K58" s="1571" t="s">
        <v>2000</v>
      </c>
      <c r="L58" s="2472" t="s">
        <v>4557</v>
      </c>
      <c r="M58" s="2473"/>
      <c r="N58" s="2473"/>
      <c r="O58" s="2473"/>
      <c r="P58" s="2473"/>
      <c r="Q58" s="2473"/>
      <c r="R58" s="2473"/>
      <c r="S58" s="2474"/>
    </row>
    <row r="59" spans="1:19" s="305" customFormat="1" ht="6.6" customHeight="1">
      <c r="D59" s="348"/>
      <c r="E59" s="1570"/>
      <c r="F59" s="1570"/>
      <c r="G59" s="1559"/>
      <c r="H59" s="2380"/>
      <c r="I59" s="2380"/>
      <c r="J59" s="2380"/>
      <c r="K59" s="1571"/>
      <c r="L59" s="2380"/>
      <c r="M59" s="2380"/>
      <c r="N59" s="1558"/>
      <c r="O59" s="1613"/>
      <c r="P59" s="1613"/>
      <c r="Q59" s="1571"/>
      <c r="R59" s="1613"/>
      <c r="S59" s="1613"/>
    </row>
    <row r="60" spans="1:19" s="305" customFormat="1" ht="11.25" customHeight="1">
      <c r="B60" s="307" t="s">
        <v>2001</v>
      </c>
      <c r="C60" s="307" t="s">
        <v>285</v>
      </c>
      <c r="H60" s="2475" t="s">
        <v>4636</v>
      </c>
      <c r="I60" s="2624"/>
      <c r="J60" s="2624"/>
      <c r="K60" s="2624"/>
      <c r="L60" s="2624"/>
      <c r="M60" s="2624"/>
      <c r="N60" s="2618"/>
      <c r="O60" s="1559" t="s">
        <v>2005</v>
      </c>
      <c r="P60" s="1559"/>
      <c r="Q60" s="2475" t="s">
        <v>4629</v>
      </c>
      <c r="R60" s="2624"/>
      <c r="S60" s="2618"/>
    </row>
    <row r="61" spans="1:19" s="305" customFormat="1" ht="11.25" customHeight="1">
      <c r="D61" s="348"/>
      <c r="E61" s="310" t="s">
        <v>1031</v>
      </c>
      <c r="F61" s="318"/>
      <c r="H61" s="2475" t="s">
        <v>4672</v>
      </c>
      <c r="I61" s="2624"/>
      <c r="J61" s="2624"/>
      <c r="K61" s="2624"/>
      <c r="L61" s="2624"/>
      <c r="M61" s="2624"/>
      <c r="N61" s="2618"/>
      <c r="O61" s="1559" t="s">
        <v>1760</v>
      </c>
      <c r="Q61" s="2475" t="s">
        <v>4630</v>
      </c>
      <c r="R61" s="2624"/>
      <c r="S61" s="2618"/>
    </row>
    <row r="62" spans="1:19" s="305" customFormat="1" ht="11.25" customHeight="1">
      <c r="D62" s="348"/>
      <c r="E62" s="310" t="s">
        <v>624</v>
      </c>
      <c r="H62" s="2475" t="s">
        <v>1217</v>
      </c>
      <c r="I62" s="2624"/>
      <c r="J62" s="2618"/>
      <c r="K62" s="1561" t="s">
        <v>2722</v>
      </c>
      <c r="L62" s="2627" t="s">
        <v>4635</v>
      </c>
      <c r="M62" s="2628"/>
      <c r="N62" s="2567"/>
      <c r="O62" s="1559" t="s">
        <v>1815</v>
      </c>
      <c r="Q62" s="2621">
        <v>6787055318</v>
      </c>
      <c r="R62" s="2622"/>
      <c r="S62" s="2623"/>
    </row>
    <row r="63" spans="1:19" s="305" customFormat="1" ht="11.25" customHeight="1">
      <c r="E63" s="310" t="s">
        <v>1812</v>
      </c>
      <c r="H63" s="2378" t="s">
        <v>856</v>
      </c>
      <c r="K63" s="1562" t="s">
        <v>2245</v>
      </c>
      <c r="L63" s="2617">
        <v>303143377</v>
      </c>
      <c r="M63" s="2618"/>
      <c r="O63" s="1559" t="s">
        <v>1995</v>
      </c>
      <c r="Q63" s="2621"/>
      <c r="R63" s="2622"/>
      <c r="S63" s="2623"/>
    </row>
    <row r="64" spans="1:19" s="305" customFormat="1" ht="11.25" customHeight="1">
      <c r="D64" s="348"/>
      <c r="E64" s="310" t="s">
        <v>4315</v>
      </c>
      <c r="H64" s="2625"/>
      <c r="I64" s="2626"/>
      <c r="J64" s="2379"/>
      <c r="K64" s="1571" t="s">
        <v>2000</v>
      </c>
      <c r="L64" s="2472" t="s">
        <v>4632</v>
      </c>
      <c r="M64" s="2473"/>
      <c r="N64" s="2473"/>
      <c r="O64" s="2473"/>
      <c r="P64" s="2473"/>
      <c r="Q64" s="2473"/>
      <c r="R64" s="2473"/>
      <c r="S64" s="2474"/>
    </row>
    <row r="65" spans="1:19" s="305" customFormat="1" ht="6.6" customHeight="1">
      <c r="D65" s="348"/>
      <c r="E65" s="1570"/>
      <c r="F65" s="1570"/>
      <c r="G65" s="1559"/>
      <c r="H65" s="2380"/>
      <c r="I65" s="2380"/>
      <c r="J65" s="2380"/>
      <c r="K65" s="1571"/>
      <c r="L65" s="2380"/>
      <c r="M65" s="2380"/>
      <c r="N65" s="1558"/>
      <c r="O65" s="1613"/>
      <c r="P65" s="1613"/>
      <c r="Q65" s="1571"/>
      <c r="R65" s="1613"/>
      <c r="S65" s="1613"/>
    </row>
    <row r="66" spans="1:19" s="305" customFormat="1" ht="11.25" customHeight="1">
      <c r="B66" s="307" t="s">
        <v>757</v>
      </c>
      <c r="C66" s="307" t="s">
        <v>1540</v>
      </c>
      <c r="H66" s="2627"/>
      <c r="I66" s="2628"/>
      <c r="J66" s="2628"/>
      <c r="K66" s="2628"/>
      <c r="L66" s="2628"/>
      <c r="M66" s="2628"/>
      <c r="N66" s="2567"/>
      <c r="O66" s="1559" t="s">
        <v>2005</v>
      </c>
      <c r="P66" s="1559"/>
      <c r="Q66" s="2627"/>
      <c r="R66" s="2628"/>
      <c r="S66" s="2567"/>
    </row>
    <row r="67" spans="1:19" s="305" customFormat="1" ht="11.25" customHeight="1">
      <c r="D67" s="348"/>
      <c r="E67" s="310" t="s">
        <v>1031</v>
      </c>
      <c r="F67" s="318"/>
      <c r="H67" s="2627"/>
      <c r="I67" s="2628"/>
      <c r="J67" s="2628"/>
      <c r="K67" s="2628"/>
      <c r="L67" s="2628"/>
      <c r="M67" s="2628"/>
      <c r="N67" s="2567"/>
      <c r="O67" s="1559" t="s">
        <v>1760</v>
      </c>
      <c r="Q67" s="2627"/>
      <c r="R67" s="2628"/>
      <c r="S67" s="2567"/>
    </row>
    <row r="68" spans="1:19" s="305" customFormat="1" ht="11.25" customHeight="1">
      <c r="D68" s="348"/>
      <c r="E68" s="310" t="s">
        <v>624</v>
      </c>
      <c r="H68" s="2627"/>
      <c r="I68" s="2628"/>
      <c r="J68" s="2567"/>
      <c r="K68" s="1561" t="s">
        <v>2722</v>
      </c>
      <c r="L68" s="2627"/>
      <c r="M68" s="2628"/>
      <c r="N68" s="2567"/>
      <c r="O68" s="1559" t="s">
        <v>1734</v>
      </c>
      <c r="Q68" s="2625"/>
      <c r="R68" s="2634"/>
      <c r="S68" s="2626"/>
    </row>
    <row r="69" spans="1:19" s="305" customFormat="1" ht="11.25" customHeight="1">
      <c r="E69" s="310" t="s">
        <v>1812</v>
      </c>
      <c r="H69" s="2378"/>
      <c r="K69" s="1562" t="s">
        <v>2245</v>
      </c>
      <c r="L69" s="2629"/>
      <c r="M69" s="2630"/>
      <c r="O69" s="1559" t="s">
        <v>1995</v>
      </c>
      <c r="Q69" s="2625"/>
      <c r="R69" s="2634"/>
      <c r="S69" s="2626"/>
    </row>
    <row r="70" spans="1:19" s="305" customFormat="1" ht="11.25" customHeight="1">
      <c r="D70" s="348"/>
      <c r="E70" s="310" t="s">
        <v>4315</v>
      </c>
      <c r="H70" s="2625"/>
      <c r="I70" s="2626"/>
      <c r="J70" s="2379"/>
      <c r="K70" s="1571" t="s">
        <v>2000</v>
      </c>
      <c r="L70" s="2472"/>
      <c r="M70" s="2473"/>
      <c r="N70" s="2473"/>
      <c r="O70" s="2473"/>
      <c r="P70" s="2473"/>
      <c r="Q70" s="2473"/>
      <c r="R70" s="2473"/>
      <c r="S70" s="2474"/>
    </row>
    <row r="71" spans="1:19" ht="6.6" customHeight="1">
      <c r="H71" s="2380"/>
      <c r="I71" s="2380"/>
      <c r="J71" s="2380"/>
      <c r="K71" s="1571"/>
      <c r="L71" s="2380"/>
      <c r="M71" s="2380"/>
      <c r="N71" s="1558"/>
      <c r="O71" s="1613"/>
      <c r="P71" s="1613"/>
      <c r="Q71" s="1571"/>
      <c r="R71" s="1613"/>
      <c r="S71" s="1613"/>
    </row>
    <row r="72" spans="1:19" s="305" customFormat="1" ht="11.25" customHeight="1">
      <c r="B72" s="307" t="s">
        <v>2131</v>
      </c>
      <c r="C72" s="307" t="s">
        <v>286</v>
      </c>
      <c r="H72" s="2627"/>
      <c r="I72" s="2628"/>
      <c r="J72" s="2628"/>
      <c r="K72" s="2628"/>
      <c r="L72" s="2628"/>
      <c r="M72" s="2628"/>
      <c r="N72" s="2567"/>
      <c r="O72" s="1559" t="s">
        <v>2005</v>
      </c>
      <c r="P72" s="1559"/>
      <c r="Q72" s="2627"/>
      <c r="R72" s="2628"/>
      <c r="S72" s="2567"/>
    </row>
    <row r="73" spans="1:19" s="305" customFormat="1" ht="11.25" customHeight="1">
      <c r="D73" s="348"/>
      <c r="E73" s="310" t="s">
        <v>1031</v>
      </c>
      <c r="F73" s="318"/>
      <c r="H73" s="2627"/>
      <c r="I73" s="2628"/>
      <c r="J73" s="2628"/>
      <c r="K73" s="2628"/>
      <c r="L73" s="2628"/>
      <c r="M73" s="2628"/>
      <c r="N73" s="2567"/>
      <c r="O73" s="1559" t="s">
        <v>1760</v>
      </c>
      <c r="Q73" s="2627"/>
      <c r="R73" s="2628"/>
      <c r="S73" s="2567"/>
    </row>
    <row r="74" spans="1:19" s="305" customFormat="1" ht="11.25" customHeight="1">
      <c r="D74" s="348"/>
      <c r="E74" s="310" t="s">
        <v>624</v>
      </c>
      <c r="H74" s="2627"/>
      <c r="I74" s="2628"/>
      <c r="J74" s="2567"/>
      <c r="K74" s="1561" t="s">
        <v>2722</v>
      </c>
      <c r="L74" s="2627"/>
      <c r="M74" s="2628"/>
      <c r="N74" s="2567"/>
      <c r="O74" s="1559" t="s">
        <v>1734</v>
      </c>
      <c r="Q74" s="2625"/>
      <c r="R74" s="2634"/>
      <c r="S74" s="2626"/>
    </row>
    <row r="75" spans="1:19" s="305" customFormat="1" ht="11.25" customHeight="1">
      <c r="E75" s="310" t="s">
        <v>1812</v>
      </c>
      <c r="H75" s="2378"/>
      <c r="K75" s="1562" t="s">
        <v>2245</v>
      </c>
      <c r="L75" s="2629"/>
      <c r="M75" s="2630"/>
      <c r="O75" s="1559" t="s">
        <v>1995</v>
      </c>
      <c r="Q75" s="2625"/>
      <c r="R75" s="2634"/>
      <c r="S75" s="2626"/>
    </row>
    <row r="76" spans="1:19" s="305" customFormat="1" ht="11.25" customHeight="1">
      <c r="D76" s="348"/>
      <c r="E76" s="310" t="s">
        <v>4315</v>
      </c>
      <c r="H76" s="2625"/>
      <c r="I76" s="2626"/>
      <c r="J76" s="2379"/>
      <c r="K76" s="1571" t="s">
        <v>2000</v>
      </c>
      <c r="L76" s="2472"/>
      <c r="M76" s="2473"/>
      <c r="N76" s="2473"/>
      <c r="O76" s="2473"/>
      <c r="P76" s="2473"/>
      <c r="Q76" s="2473"/>
      <c r="R76" s="2473"/>
      <c r="S76" s="2474"/>
    </row>
    <row r="77" spans="1:19" ht="6.75" customHeight="1"/>
    <row r="78" spans="1:19" s="310" customFormat="1" ht="13.1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2381"/>
      <c r="I79" s="2381"/>
      <c r="J79" s="2381"/>
      <c r="K79" s="1558"/>
      <c r="L79" s="2381"/>
      <c r="M79" s="2381"/>
      <c r="N79" s="1558"/>
      <c r="O79" s="1613"/>
      <c r="P79" s="1613"/>
      <c r="Q79" s="1571"/>
      <c r="R79" s="1613"/>
      <c r="S79" s="1613"/>
    </row>
    <row r="80" spans="1:19" s="305" customFormat="1" ht="11.25" customHeight="1">
      <c r="B80" s="307" t="s">
        <v>1999</v>
      </c>
      <c r="C80" s="307" t="s">
        <v>288</v>
      </c>
      <c r="H80" s="2627"/>
      <c r="I80" s="2628"/>
      <c r="J80" s="2628"/>
      <c r="K80" s="2628"/>
      <c r="L80" s="2628"/>
      <c r="M80" s="2628"/>
      <c r="N80" s="2567"/>
      <c r="O80" s="1559" t="s">
        <v>2005</v>
      </c>
      <c r="P80" s="1559"/>
      <c r="Q80" s="2627"/>
      <c r="R80" s="2628"/>
      <c r="S80" s="2567"/>
    </row>
    <row r="81" spans="2:19" s="305" customFormat="1" ht="11.25" customHeight="1">
      <c r="D81" s="348"/>
      <c r="E81" s="310" t="s">
        <v>1031</v>
      </c>
      <c r="F81" s="318"/>
      <c r="H81" s="2627"/>
      <c r="I81" s="2628"/>
      <c r="J81" s="2628"/>
      <c r="K81" s="2628"/>
      <c r="L81" s="2628"/>
      <c r="M81" s="2628"/>
      <c r="N81" s="2567"/>
      <c r="O81" s="1559" t="s">
        <v>1760</v>
      </c>
      <c r="Q81" s="2627"/>
      <c r="R81" s="2628"/>
      <c r="S81" s="2567"/>
    </row>
    <row r="82" spans="2:19" s="305" customFormat="1" ht="11.25" customHeight="1">
      <c r="D82" s="348"/>
      <c r="E82" s="310" t="s">
        <v>624</v>
      </c>
      <c r="H82" s="2627"/>
      <c r="I82" s="2628"/>
      <c r="J82" s="2567"/>
      <c r="K82" s="1561" t="s">
        <v>2722</v>
      </c>
      <c r="L82" s="2627"/>
      <c r="M82" s="2628"/>
      <c r="N82" s="2567"/>
      <c r="O82" s="1559" t="s">
        <v>1734</v>
      </c>
      <c r="Q82" s="2625"/>
      <c r="R82" s="2634"/>
      <c r="S82" s="2626"/>
    </row>
    <row r="83" spans="2:19" s="305" customFormat="1" ht="11.25" customHeight="1">
      <c r="E83" s="310" t="s">
        <v>1812</v>
      </c>
      <c r="H83" s="2378"/>
      <c r="K83" s="1562" t="s">
        <v>2245</v>
      </c>
      <c r="L83" s="2629"/>
      <c r="M83" s="2630"/>
      <c r="O83" s="1559" t="s">
        <v>1995</v>
      </c>
      <c r="Q83" s="2625"/>
      <c r="R83" s="2634"/>
      <c r="S83" s="2626"/>
    </row>
    <row r="84" spans="2:19" s="305" customFormat="1" ht="11.25" customHeight="1">
      <c r="D84" s="348"/>
      <c r="E84" s="310" t="s">
        <v>4315</v>
      </c>
      <c r="H84" s="2625"/>
      <c r="I84" s="2626"/>
      <c r="J84" s="2379"/>
      <c r="K84" s="1571" t="s">
        <v>2000</v>
      </c>
      <c r="L84" s="2472"/>
      <c r="M84" s="2473"/>
      <c r="N84" s="2473"/>
      <c r="O84" s="2473"/>
      <c r="P84" s="2473"/>
      <c r="Q84" s="2473"/>
      <c r="R84" s="2473"/>
      <c r="S84" s="2474"/>
    </row>
    <row r="85" spans="2:19" ht="6.6" customHeight="1">
      <c r="H85" s="2380"/>
      <c r="I85" s="2380"/>
      <c r="J85" s="2380"/>
      <c r="K85" s="1571"/>
      <c r="L85" s="2380"/>
      <c r="M85" s="2380"/>
      <c r="N85" s="1558"/>
      <c r="O85" s="1613"/>
      <c r="P85" s="1613"/>
      <c r="Q85" s="1571"/>
      <c r="R85" s="1613"/>
      <c r="S85" s="1613"/>
    </row>
    <row r="86" spans="2:19" s="305" customFormat="1" ht="11.25" customHeight="1">
      <c r="B86" s="307" t="s">
        <v>2001</v>
      </c>
      <c r="C86" s="307" t="s">
        <v>289</v>
      </c>
      <c r="H86" s="2627" t="s">
        <v>4599</v>
      </c>
      <c r="I86" s="2628"/>
      <c r="J86" s="2628"/>
      <c r="K86" s="2628"/>
      <c r="L86" s="2628"/>
      <c r="M86" s="2628"/>
      <c r="N86" s="2567"/>
      <c r="O86" s="1559" t="s">
        <v>2005</v>
      </c>
      <c r="P86" s="1559"/>
      <c r="Q86" s="2627" t="s">
        <v>4600</v>
      </c>
      <c r="R86" s="2628"/>
      <c r="S86" s="2567"/>
    </row>
    <row r="87" spans="2:19" s="305" customFormat="1" ht="11.25" customHeight="1">
      <c r="D87" s="348"/>
      <c r="E87" s="310" t="s">
        <v>1031</v>
      </c>
      <c r="F87" s="318"/>
      <c r="H87" s="2627" t="s">
        <v>4603</v>
      </c>
      <c r="I87" s="2628"/>
      <c r="J87" s="2628"/>
      <c r="K87" s="2628"/>
      <c r="L87" s="2628"/>
      <c r="M87" s="2628"/>
      <c r="N87" s="2567"/>
      <c r="O87" s="1559" t="s">
        <v>1760</v>
      </c>
      <c r="Q87" s="2627" t="s">
        <v>4556</v>
      </c>
      <c r="R87" s="2628"/>
      <c r="S87" s="2567"/>
    </row>
    <row r="88" spans="2:19" s="305" customFormat="1" ht="11.25" customHeight="1">
      <c r="D88" s="348"/>
      <c r="E88" s="310" t="s">
        <v>624</v>
      </c>
      <c r="H88" s="2627" t="s">
        <v>1217</v>
      </c>
      <c r="I88" s="2628"/>
      <c r="J88" s="2567"/>
      <c r="K88" s="1561" t="s">
        <v>2722</v>
      </c>
      <c r="L88" s="2627" t="s">
        <v>4601</v>
      </c>
      <c r="M88" s="2628"/>
      <c r="N88" s="2567"/>
      <c r="O88" s="1559" t="s">
        <v>1734</v>
      </c>
      <c r="Q88" s="2625">
        <v>4049493882</v>
      </c>
      <c r="R88" s="2634"/>
      <c r="S88" s="2626"/>
    </row>
    <row r="89" spans="2:19" s="305" customFormat="1" ht="11.25" customHeight="1">
      <c r="E89" s="310" t="s">
        <v>1812</v>
      </c>
      <c r="H89" s="2378" t="s">
        <v>856</v>
      </c>
      <c r="K89" s="1562" t="s">
        <v>2245</v>
      </c>
      <c r="L89" s="2629">
        <v>303272802</v>
      </c>
      <c r="M89" s="2630"/>
      <c r="O89" s="1559" t="s">
        <v>1995</v>
      </c>
      <c r="Q89" s="2625">
        <v>4043761063</v>
      </c>
      <c r="R89" s="2634"/>
      <c r="S89" s="2626"/>
    </row>
    <row r="90" spans="2:19" s="305" customFormat="1" ht="11.25" customHeight="1">
      <c r="D90" s="348"/>
      <c r="E90" s="310" t="s">
        <v>4315</v>
      </c>
      <c r="H90" s="2625"/>
      <c r="I90" s="2626"/>
      <c r="J90" s="2379"/>
      <c r="K90" s="1571" t="s">
        <v>2000</v>
      </c>
      <c r="L90" s="2472" t="s">
        <v>4602</v>
      </c>
      <c r="M90" s="2473"/>
      <c r="N90" s="2473"/>
      <c r="O90" s="2473"/>
      <c r="P90" s="2473"/>
      <c r="Q90" s="2473"/>
      <c r="R90" s="2473"/>
      <c r="S90" s="2474"/>
    </row>
    <row r="91" spans="2:19" ht="6.6" customHeight="1">
      <c r="H91" s="2380"/>
      <c r="I91" s="2380"/>
      <c r="J91" s="2380"/>
      <c r="K91" s="1571"/>
      <c r="L91" s="2380"/>
      <c r="M91" s="2380"/>
      <c r="N91" s="1558"/>
      <c r="O91" s="1613"/>
      <c r="P91" s="1613"/>
      <c r="Q91" s="1571"/>
      <c r="R91" s="1613"/>
      <c r="S91" s="1613"/>
    </row>
    <row r="92" spans="2:19" s="305" customFormat="1" ht="11.25" customHeight="1">
      <c r="B92" s="307" t="s">
        <v>757</v>
      </c>
      <c r="C92" s="307" t="s">
        <v>290</v>
      </c>
      <c r="F92" s="324"/>
      <c r="H92" s="2475" t="s">
        <v>4579</v>
      </c>
      <c r="I92" s="2624"/>
      <c r="J92" s="2624"/>
      <c r="K92" s="2624"/>
      <c r="L92" s="2624"/>
      <c r="M92" s="2624"/>
      <c r="N92" s="2618"/>
      <c r="O92" s="1559" t="s">
        <v>2005</v>
      </c>
      <c r="P92" s="1559"/>
      <c r="Q92" s="2475" t="s">
        <v>4568</v>
      </c>
      <c r="R92" s="2624"/>
      <c r="S92" s="2618"/>
    </row>
    <row r="93" spans="2:19" s="305" customFormat="1" ht="11.25" customHeight="1">
      <c r="D93" s="348"/>
      <c r="E93" s="310" t="s">
        <v>1031</v>
      </c>
      <c r="F93" s="318"/>
      <c r="H93" s="2475" t="s">
        <v>4578</v>
      </c>
      <c r="I93" s="2624"/>
      <c r="J93" s="2624"/>
      <c r="K93" s="2624"/>
      <c r="L93" s="2624"/>
      <c r="M93" s="2624"/>
      <c r="N93" s="2618"/>
      <c r="O93" s="1559" t="s">
        <v>1760</v>
      </c>
      <c r="Q93" s="2475" t="s">
        <v>4556</v>
      </c>
      <c r="R93" s="2624"/>
      <c r="S93" s="2618"/>
    </row>
    <row r="94" spans="2:19" s="305" customFormat="1" ht="11.25" customHeight="1">
      <c r="D94" s="348"/>
      <c r="E94" s="310" t="s">
        <v>624</v>
      </c>
      <c r="H94" s="2475" t="s">
        <v>1217</v>
      </c>
      <c r="I94" s="2624"/>
      <c r="J94" s="2618"/>
      <c r="K94" s="1561" t="s">
        <v>2722</v>
      </c>
      <c r="L94" s="2475" t="s">
        <v>4570</v>
      </c>
      <c r="M94" s="2624"/>
      <c r="N94" s="2618"/>
      <c r="O94" s="1559" t="s">
        <v>1815</v>
      </c>
      <c r="Q94" s="2621">
        <v>4044191432</v>
      </c>
      <c r="R94" s="2622"/>
      <c r="S94" s="2623"/>
    </row>
    <row r="95" spans="2:19" s="305" customFormat="1" ht="11.25" customHeight="1">
      <c r="D95" s="348"/>
      <c r="E95" s="310" t="s">
        <v>1812</v>
      </c>
      <c r="H95" s="2378" t="s">
        <v>856</v>
      </c>
      <c r="K95" s="1562" t="s">
        <v>2245</v>
      </c>
      <c r="L95" s="2617">
        <v>303092496</v>
      </c>
      <c r="M95" s="2618"/>
      <c r="O95" s="1559" t="s">
        <v>1995</v>
      </c>
      <c r="Q95" s="2621">
        <v>4047838060</v>
      </c>
      <c r="R95" s="2622"/>
      <c r="S95" s="2623"/>
    </row>
    <row r="96" spans="2:19" s="305" customFormat="1" ht="11.25" customHeight="1">
      <c r="D96" s="348"/>
      <c r="E96" s="310" t="s">
        <v>4315</v>
      </c>
      <c r="H96" s="2625"/>
      <c r="I96" s="2626"/>
      <c r="J96" s="2379"/>
      <c r="K96" s="1571" t="s">
        <v>2000</v>
      </c>
      <c r="L96" s="2472" t="s">
        <v>4557</v>
      </c>
      <c r="M96" s="2473"/>
      <c r="N96" s="2473"/>
      <c r="O96" s="2473"/>
      <c r="P96" s="2473"/>
      <c r="Q96" s="2473"/>
      <c r="R96" s="2473"/>
      <c r="S96" s="2474"/>
    </row>
    <row r="97" spans="2:19" ht="6.6" customHeight="1">
      <c r="H97" s="2380"/>
      <c r="I97" s="2380"/>
      <c r="J97" s="2380"/>
      <c r="K97" s="1571"/>
      <c r="L97" s="2380"/>
      <c r="M97" s="2380"/>
      <c r="N97" s="1558"/>
      <c r="O97" s="1613"/>
      <c r="P97" s="1613"/>
      <c r="Q97" s="1571"/>
      <c r="R97" s="1613"/>
      <c r="S97" s="1613"/>
    </row>
    <row r="98" spans="2:19" s="305" customFormat="1" ht="11.25" customHeight="1">
      <c r="B98" s="307" t="s">
        <v>2131</v>
      </c>
      <c r="C98" s="307" t="s">
        <v>291</v>
      </c>
      <c r="H98" s="2475" t="s">
        <v>4580</v>
      </c>
      <c r="I98" s="2624"/>
      <c r="J98" s="2624"/>
      <c r="K98" s="2624"/>
      <c r="L98" s="2624"/>
      <c r="M98" s="2624"/>
      <c r="N98" s="2618"/>
      <c r="O98" s="1559" t="s">
        <v>2005</v>
      </c>
      <c r="P98" s="1559"/>
      <c r="Q98" s="2475" t="s">
        <v>4581</v>
      </c>
      <c r="R98" s="2624"/>
      <c r="S98" s="2618"/>
    </row>
    <row r="99" spans="2:19" s="305" customFormat="1" ht="11.25" customHeight="1">
      <c r="D99" s="348"/>
      <c r="E99" s="310" t="s">
        <v>1031</v>
      </c>
      <c r="F99" s="318"/>
      <c r="H99" s="2475" t="s">
        <v>4582</v>
      </c>
      <c r="I99" s="2624"/>
      <c r="J99" s="2624"/>
      <c r="K99" s="2624"/>
      <c r="L99" s="2624"/>
      <c r="M99" s="2624"/>
      <c r="N99" s="2618"/>
      <c r="O99" s="1559" t="s">
        <v>1760</v>
      </c>
      <c r="Q99" s="2475" t="s">
        <v>4583</v>
      </c>
      <c r="R99" s="2624"/>
      <c r="S99" s="2618"/>
    </row>
    <row r="100" spans="2:19" s="305" customFormat="1" ht="11.25" customHeight="1">
      <c r="D100" s="348"/>
      <c r="E100" s="310" t="s">
        <v>624</v>
      </c>
      <c r="H100" s="2475" t="s">
        <v>1338</v>
      </c>
      <c r="I100" s="2624"/>
      <c r="J100" s="2618"/>
      <c r="K100" s="1561" t="s">
        <v>2722</v>
      </c>
      <c r="L100" s="2475" t="s">
        <v>4584</v>
      </c>
      <c r="M100" s="2624"/>
      <c r="N100" s="2618"/>
      <c r="O100" s="1559" t="s">
        <v>1815</v>
      </c>
      <c r="Q100" s="2621">
        <v>9129441635</v>
      </c>
      <c r="R100" s="2622"/>
      <c r="S100" s="2623"/>
    </row>
    <row r="101" spans="2:19" s="305" customFormat="1" ht="11.25" customHeight="1">
      <c r="D101" s="348"/>
      <c r="E101" s="310" t="s">
        <v>1812</v>
      </c>
      <c r="H101" s="2378" t="s">
        <v>856</v>
      </c>
      <c r="K101" s="1562" t="s">
        <v>2245</v>
      </c>
      <c r="L101" s="2617">
        <v>314012700</v>
      </c>
      <c r="M101" s="2618"/>
      <c r="O101" s="1559" t="s">
        <v>1995</v>
      </c>
      <c r="Q101" s="2621"/>
      <c r="R101" s="2622"/>
      <c r="S101" s="2623"/>
    </row>
    <row r="102" spans="2:19" ht="11.25" customHeight="1">
      <c r="E102" s="310" t="s">
        <v>4315</v>
      </c>
      <c r="F102" s="305"/>
      <c r="G102" s="305"/>
      <c r="H102" s="2625"/>
      <c r="I102" s="2626"/>
      <c r="J102" s="2379"/>
      <c r="K102" s="1571" t="s">
        <v>2000</v>
      </c>
      <c r="L102" s="2472" t="s">
        <v>4585</v>
      </c>
      <c r="M102" s="2473"/>
      <c r="N102" s="2473"/>
      <c r="O102" s="2473"/>
      <c r="P102" s="2473"/>
      <c r="Q102" s="2473"/>
      <c r="R102" s="2473"/>
      <c r="S102" s="2474"/>
    </row>
    <row r="103" spans="2:19" ht="6" customHeight="1">
      <c r="E103" s="310"/>
      <c r="F103" s="305"/>
      <c r="G103" s="1570"/>
      <c r="H103" s="2381"/>
      <c r="I103" s="2381"/>
      <c r="J103" s="2381"/>
      <c r="K103" s="1558"/>
      <c r="L103" s="2381"/>
      <c r="M103" s="2381"/>
      <c r="N103" s="1558"/>
      <c r="O103" s="1613"/>
      <c r="P103" s="1613"/>
      <c r="Q103" s="1571"/>
      <c r="R103" s="1613"/>
      <c r="S103" s="1613"/>
    </row>
    <row r="104" spans="2:19" s="305" customFormat="1" ht="11.25" customHeight="1">
      <c r="B104" s="307" t="s">
        <v>1748</v>
      </c>
      <c r="C104" s="307" t="s">
        <v>292</v>
      </c>
      <c r="H104" s="2475" t="s">
        <v>4586</v>
      </c>
      <c r="I104" s="2624"/>
      <c r="J104" s="2624"/>
      <c r="K104" s="2624"/>
      <c r="L104" s="2624"/>
      <c r="M104" s="2624"/>
      <c r="N104" s="2618"/>
      <c r="O104" s="1559" t="s">
        <v>2005</v>
      </c>
      <c r="P104" s="1559"/>
      <c r="Q104" s="2475" t="s">
        <v>4587</v>
      </c>
      <c r="R104" s="2624"/>
      <c r="S104" s="2618"/>
    </row>
    <row r="105" spans="2:19" s="305" customFormat="1" ht="11.25" customHeight="1">
      <c r="D105" s="348"/>
      <c r="E105" s="310" t="s">
        <v>1031</v>
      </c>
      <c r="F105" s="318"/>
      <c r="H105" s="2475" t="s">
        <v>4588</v>
      </c>
      <c r="I105" s="2624"/>
      <c r="J105" s="2624"/>
      <c r="K105" s="2624"/>
      <c r="L105" s="2624"/>
      <c r="M105" s="2624"/>
      <c r="N105" s="2618"/>
      <c r="O105" s="1559" t="s">
        <v>1760</v>
      </c>
      <c r="Q105" s="2475" t="s">
        <v>4589</v>
      </c>
      <c r="R105" s="2624"/>
      <c r="S105" s="2618"/>
    </row>
    <row r="106" spans="2:19" s="305" customFormat="1" ht="11.25" customHeight="1">
      <c r="D106" s="348"/>
      <c r="E106" s="310" t="s">
        <v>624</v>
      </c>
      <c r="H106" s="2475" t="s">
        <v>1217</v>
      </c>
      <c r="I106" s="2624"/>
      <c r="J106" s="2618"/>
      <c r="K106" s="1561" t="s">
        <v>2722</v>
      </c>
      <c r="L106" s="2475" t="s">
        <v>4590</v>
      </c>
      <c r="M106" s="2624"/>
      <c r="N106" s="2618"/>
      <c r="O106" s="1559" t="s">
        <v>1815</v>
      </c>
      <c r="Q106" s="2621">
        <v>4048477774</v>
      </c>
      <c r="R106" s="2622"/>
      <c r="S106" s="2623"/>
    </row>
    <row r="107" spans="2:19" s="305" customFormat="1" ht="11.25" customHeight="1">
      <c r="D107" s="348"/>
      <c r="E107" s="310" t="s">
        <v>1812</v>
      </c>
      <c r="H107" s="2378" t="s">
        <v>856</v>
      </c>
      <c r="K107" s="1562" t="s">
        <v>2245</v>
      </c>
      <c r="L107" s="2617">
        <v>303191497</v>
      </c>
      <c r="M107" s="2618"/>
      <c r="O107" s="1559" t="s">
        <v>1995</v>
      </c>
      <c r="Q107" s="2621"/>
      <c r="R107" s="2622"/>
      <c r="S107" s="2623"/>
    </row>
    <row r="108" spans="2:19" ht="11.25" customHeight="1">
      <c r="E108" s="310" t="s">
        <v>4315</v>
      </c>
      <c r="F108" s="305"/>
      <c r="G108" s="305"/>
      <c r="H108" s="2625"/>
      <c r="I108" s="2626"/>
      <c r="J108" s="2379"/>
      <c r="K108" s="1571" t="s">
        <v>2000</v>
      </c>
      <c r="L108" s="2472" t="s">
        <v>4591</v>
      </c>
      <c r="M108" s="2473"/>
      <c r="N108" s="2473"/>
      <c r="O108" s="2473"/>
      <c r="P108" s="2473"/>
      <c r="Q108" s="2473"/>
      <c r="R108" s="2473"/>
      <c r="S108" s="2474"/>
    </row>
    <row r="109" spans="2:19" ht="6.6" customHeight="1">
      <c r="E109" s="310"/>
      <c r="F109" s="305"/>
      <c r="G109" s="1570"/>
      <c r="H109" s="2380"/>
      <c r="I109" s="2380"/>
      <c r="J109" s="2380"/>
      <c r="K109" s="1571"/>
      <c r="L109" s="2380"/>
      <c r="M109" s="2380"/>
      <c r="N109" s="1558"/>
      <c r="O109" s="1613"/>
      <c r="P109" s="1613"/>
      <c r="Q109" s="1571"/>
      <c r="R109" s="1613"/>
      <c r="S109" s="1613"/>
    </row>
    <row r="110" spans="2:19" s="305" customFormat="1" ht="11.25" customHeight="1">
      <c r="B110" s="307" t="s">
        <v>1749</v>
      </c>
      <c r="C110" s="307" t="s">
        <v>293</v>
      </c>
      <c r="H110" s="2475" t="s">
        <v>4637</v>
      </c>
      <c r="I110" s="2624"/>
      <c r="J110" s="2624"/>
      <c r="K110" s="2624"/>
      <c r="L110" s="2624"/>
      <c r="M110" s="2624"/>
      <c r="N110" s="2618"/>
      <c r="O110" s="1559" t="s">
        <v>2005</v>
      </c>
      <c r="P110" s="1559"/>
      <c r="Q110" s="2475" t="s">
        <v>4638</v>
      </c>
      <c r="R110" s="2624"/>
      <c r="S110" s="2618"/>
    </row>
    <row r="111" spans="2:19" s="305" customFormat="1" ht="11.25" customHeight="1">
      <c r="D111" s="348"/>
      <c r="E111" s="310" t="s">
        <v>1031</v>
      </c>
      <c r="F111" s="318"/>
      <c r="H111" s="2475" t="s">
        <v>4639</v>
      </c>
      <c r="I111" s="2624"/>
      <c r="J111" s="2624"/>
      <c r="K111" s="2624"/>
      <c r="L111" s="2624"/>
      <c r="M111" s="2624"/>
      <c r="N111" s="2618"/>
      <c r="O111" s="1559" t="s">
        <v>1760</v>
      </c>
      <c r="Q111" s="2475" t="s">
        <v>4640</v>
      </c>
      <c r="R111" s="2624"/>
      <c r="S111" s="2618"/>
    </row>
    <row r="112" spans="2:19" s="305" customFormat="1" ht="11.25" customHeight="1">
      <c r="D112" s="348"/>
      <c r="E112" s="310" t="s">
        <v>624</v>
      </c>
      <c r="H112" s="2475" t="s">
        <v>1217</v>
      </c>
      <c r="I112" s="2624"/>
      <c r="J112" s="2618"/>
      <c r="K112" s="1561" t="s">
        <v>2722</v>
      </c>
      <c r="L112" s="2475" t="s">
        <v>4641</v>
      </c>
      <c r="M112" s="2624"/>
      <c r="N112" s="2618"/>
      <c r="O112" s="1559" t="s">
        <v>1815</v>
      </c>
      <c r="Q112" s="2621"/>
      <c r="R112" s="2622"/>
      <c r="S112" s="2623"/>
    </row>
    <row r="113" spans="1:22" s="305" customFormat="1" ht="11.25" customHeight="1">
      <c r="D113" s="352"/>
      <c r="E113" s="310" t="s">
        <v>1812</v>
      </c>
      <c r="H113" s="2378" t="s">
        <v>856</v>
      </c>
      <c r="K113" s="1562" t="s">
        <v>2245</v>
      </c>
      <c r="L113" s="2617">
        <v>303031264</v>
      </c>
      <c r="M113" s="2618"/>
      <c r="O113" s="1559" t="s">
        <v>1995</v>
      </c>
      <c r="Q113" s="2621"/>
      <c r="R113" s="2622"/>
      <c r="S113" s="2623"/>
    </row>
    <row r="114" spans="1:22" s="305" customFormat="1" ht="11.25" customHeight="1">
      <c r="D114" s="352"/>
      <c r="E114" s="310" t="s">
        <v>4315</v>
      </c>
      <c r="H114" s="2625"/>
      <c r="I114" s="2626"/>
      <c r="J114" s="2379"/>
      <c r="K114" s="1571" t="s">
        <v>2000</v>
      </c>
      <c r="L114" s="2472" t="s">
        <v>4642</v>
      </c>
      <c r="M114" s="2473"/>
      <c r="N114" s="2473"/>
      <c r="O114" s="2473"/>
      <c r="P114" s="2473"/>
      <c r="Q114" s="2473"/>
      <c r="R114" s="2473"/>
      <c r="S114" s="2474"/>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2475" t="s">
        <v>4643</v>
      </c>
      <c r="I117" s="2480"/>
      <c r="J117" s="2476"/>
      <c r="K117" s="1571" t="s">
        <v>2490</v>
      </c>
      <c r="L117" s="2475" t="s">
        <v>4568</v>
      </c>
      <c r="M117" s="2624"/>
      <c r="N117" s="2618"/>
      <c r="O117" s="310" t="s">
        <v>3603</v>
      </c>
      <c r="Q117" s="2621">
        <v>4044191432</v>
      </c>
      <c r="R117" s="2622"/>
      <c r="S117" s="2623"/>
    </row>
    <row r="118" spans="1:22" s="305" customFormat="1" ht="11.25" customHeight="1">
      <c r="D118" s="348"/>
      <c r="E118" s="310" t="s">
        <v>1031</v>
      </c>
      <c r="F118" s="318"/>
      <c r="H118" s="2475" t="s">
        <v>4554</v>
      </c>
      <c r="I118" s="2624"/>
      <c r="J118" s="2624"/>
      <c r="K118" s="2624"/>
      <c r="L118" s="2624"/>
      <c r="M118" s="2624"/>
      <c r="N118" s="2618"/>
      <c r="O118" s="310" t="s">
        <v>624</v>
      </c>
      <c r="Q118" s="2627" t="s">
        <v>1217</v>
      </c>
      <c r="R118" s="2628"/>
      <c r="S118" s="2567"/>
    </row>
    <row r="119" spans="1:22" s="305" customFormat="1" ht="11.25" customHeight="1">
      <c r="D119" s="348"/>
      <c r="E119" s="310" t="s">
        <v>1812</v>
      </c>
      <c r="H119" s="2378" t="s">
        <v>856</v>
      </c>
      <c r="I119" s="1562" t="s">
        <v>2245</v>
      </c>
      <c r="J119" s="2617">
        <v>303092496</v>
      </c>
      <c r="K119" s="2618"/>
      <c r="L119" s="1571" t="s">
        <v>2000</v>
      </c>
      <c r="M119" s="2472" t="s">
        <v>4557</v>
      </c>
      <c r="N119" s="2473"/>
      <c r="O119" s="2473"/>
      <c r="P119" s="2473"/>
      <c r="Q119" s="2473"/>
      <c r="R119" s="2473"/>
      <c r="S119" s="2474"/>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2635" t="s">
        <v>3912</v>
      </c>
      <c r="B121" s="2635"/>
      <c r="C121" s="2635"/>
      <c r="D121" s="2635"/>
      <c r="E121" s="2636"/>
      <c r="F121" s="2382" t="s">
        <v>2527</v>
      </c>
      <c r="G121" s="2637" t="s">
        <v>3502</v>
      </c>
      <c r="H121" s="2638"/>
      <c r="I121" s="2638"/>
      <c r="J121" s="2638"/>
      <c r="K121" s="2638"/>
      <c r="L121" s="2638"/>
      <c r="M121" s="2638"/>
      <c r="N121" s="2638"/>
      <c r="O121" s="2638"/>
      <c r="P121" s="2638"/>
      <c r="Q121" s="2638"/>
      <c r="R121" s="2638"/>
      <c r="S121" s="2639"/>
    </row>
    <row r="122" spans="1:22" s="305" customFormat="1" ht="31.5" customHeight="1">
      <c r="B122" s="521"/>
      <c r="C122" s="1195" t="s">
        <v>2002</v>
      </c>
      <c r="D122" s="2640" t="s">
        <v>2855</v>
      </c>
      <c r="E122" s="2641"/>
      <c r="F122" s="2383" t="s">
        <v>3014</v>
      </c>
      <c r="G122" s="2642"/>
      <c r="H122" s="2643"/>
      <c r="I122" s="2643"/>
      <c r="J122" s="2643"/>
      <c r="K122" s="2643"/>
      <c r="L122" s="2643"/>
      <c r="M122" s="2643"/>
      <c r="N122" s="2643"/>
      <c r="O122" s="2643"/>
      <c r="P122" s="2643"/>
      <c r="Q122" s="2643"/>
      <c r="R122" s="2643"/>
      <c r="S122" s="2644"/>
      <c r="U122" s="2616" t="s">
        <v>2047</v>
      </c>
      <c r="V122" s="2616"/>
    </row>
    <row r="123" spans="1:22" s="305" customFormat="1" ht="31.5" customHeight="1">
      <c r="B123" s="521"/>
      <c r="C123" s="647" t="s">
        <v>2004</v>
      </c>
      <c r="D123" s="2539" t="s">
        <v>2921</v>
      </c>
      <c r="E123" s="2645"/>
      <c r="F123" s="2384" t="s">
        <v>3011</v>
      </c>
      <c r="G123" s="2646" t="s">
        <v>4644</v>
      </c>
      <c r="H123" s="2647"/>
      <c r="I123" s="2647"/>
      <c r="J123" s="2647"/>
      <c r="K123" s="2647"/>
      <c r="L123" s="2647"/>
      <c r="M123" s="2647"/>
      <c r="N123" s="2647"/>
      <c r="O123" s="2647"/>
      <c r="P123" s="2647"/>
      <c r="Q123" s="2647"/>
      <c r="R123" s="2647"/>
      <c r="S123" s="2648"/>
      <c r="U123" s="2616"/>
      <c r="V123" s="2616"/>
    </row>
    <row r="124" spans="1:22" s="305" customFormat="1" ht="31.5" customHeight="1">
      <c r="B124" s="521"/>
      <c r="C124" s="647" t="s">
        <v>2551</v>
      </c>
      <c r="D124" s="2539" t="s">
        <v>2897</v>
      </c>
      <c r="E124" s="2645"/>
      <c r="F124" s="2384" t="s">
        <v>3014</v>
      </c>
      <c r="G124" s="2646"/>
      <c r="H124" s="2647"/>
      <c r="I124" s="2647"/>
      <c r="J124" s="2647"/>
      <c r="K124" s="2647"/>
      <c r="L124" s="2647"/>
      <c r="M124" s="2647"/>
      <c r="N124" s="2647"/>
      <c r="O124" s="2647"/>
      <c r="P124" s="2647"/>
      <c r="Q124" s="2647"/>
      <c r="R124" s="2647"/>
      <c r="S124" s="2648"/>
      <c r="U124" s="2616"/>
      <c r="V124" s="2616"/>
    </row>
    <row r="125" spans="1:22" s="305" customFormat="1" ht="31.5" customHeight="1">
      <c r="B125" s="521"/>
      <c r="C125" s="647" t="s">
        <v>1236</v>
      </c>
      <c r="D125" s="2539" t="s">
        <v>2856</v>
      </c>
      <c r="E125" s="2645"/>
      <c r="F125" s="2384" t="s">
        <v>3014</v>
      </c>
      <c r="G125" s="2646"/>
      <c r="H125" s="2647"/>
      <c r="I125" s="2647"/>
      <c r="J125" s="2647"/>
      <c r="K125" s="2647"/>
      <c r="L125" s="2647"/>
      <c r="M125" s="2647"/>
      <c r="N125" s="2647"/>
      <c r="O125" s="2647"/>
      <c r="P125" s="2647"/>
      <c r="Q125" s="2647"/>
      <c r="R125" s="2647"/>
      <c r="S125" s="2648"/>
      <c r="U125" s="2616"/>
      <c r="V125" s="2616"/>
    </row>
    <row r="126" spans="1:22" s="305" customFormat="1" ht="31.5" customHeight="1">
      <c r="B126" s="521"/>
      <c r="C126" s="647" t="s">
        <v>1237</v>
      </c>
      <c r="D126" s="2539" t="s">
        <v>3489</v>
      </c>
      <c r="E126" s="2645"/>
      <c r="F126" s="2384" t="s">
        <v>3014</v>
      </c>
      <c r="G126" s="2646"/>
      <c r="H126" s="2647"/>
      <c r="I126" s="2647"/>
      <c r="J126" s="2647"/>
      <c r="K126" s="2647"/>
      <c r="L126" s="2647"/>
      <c r="M126" s="2647"/>
      <c r="N126" s="2647"/>
      <c r="O126" s="2647"/>
      <c r="P126" s="2647"/>
      <c r="Q126" s="2647"/>
      <c r="R126" s="2647"/>
      <c r="S126" s="2648"/>
      <c r="U126" s="2616"/>
      <c r="V126" s="2616"/>
    </row>
    <row r="127" spans="1:22" s="305" customFormat="1" ht="31.5" customHeight="1">
      <c r="B127" s="521"/>
      <c r="C127" s="647" t="s">
        <v>1896</v>
      </c>
      <c r="D127" s="2539" t="s">
        <v>3490</v>
      </c>
      <c r="E127" s="2645"/>
      <c r="F127" s="2384" t="s">
        <v>3014</v>
      </c>
      <c r="G127" s="2646"/>
      <c r="H127" s="2647"/>
      <c r="I127" s="2647"/>
      <c r="J127" s="2647"/>
      <c r="K127" s="2647"/>
      <c r="L127" s="2647"/>
      <c r="M127" s="2647"/>
      <c r="N127" s="2647"/>
      <c r="O127" s="2647"/>
      <c r="P127" s="2647"/>
      <c r="Q127" s="2647"/>
      <c r="R127" s="2647"/>
      <c r="S127" s="2648"/>
      <c r="U127" s="2616"/>
      <c r="V127" s="2616"/>
    </row>
    <row r="128" spans="1:22" s="305" customFormat="1" ht="31.5" customHeight="1">
      <c r="B128" s="521"/>
      <c r="C128" s="647" t="s">
        <v>508</v>
      </c>
      <c r="D128" s="2539" t="s">
        <v>2857</v>
      </c>
      <c r="E128" s="2645"/>
      <c r="F128" s="2384" t="s">
        <v>3014</v>
      </c>
      <c r="G128" s="2646"/>
      <c r="H128" s="2647"/>
      <c r="I128" s="2647"/>
      <c r="J128" s="2647"/>
      <c r="K128" s="2647"/>
      <c r="L128" s="2647"/>
      <c r="M128" s="2647"/>
      <c r="N128" s="2647"/>
      <c r="O128" s="2647"/>
      <c r="P128" s="2647"/>
      <c r="Q128" s="2647"/>
      <c r="R128" s="2647"/>
      <c r="S128" s="2648"/>
    </row>
    <row r="129" spans="1:22" s="305" customFormat="1" ht="31.5" customHeight="1">
      <c r="B129" s="521"/>
      <c r="C129" s="647" t="s">
        <v>509</v>
      </c>
      <c r="D129" s="2657" t="s">
        <v>4645</v>
      </c>
      <c r="E129" s="2658"/>
      <c r="F129" s="2385" t="s">
        <v>3011</v>
      </c>
      <c r="G129" s="2659" t="s">
        <v>4646</v>
      </c>
      <c r="H129" s="2660"/>
      <c r="I129" s="2660"/>
      <c r="J129" s="2660"/>
      <c r="K129" s="2660"/>
      <c r="L129" s="2660"/>
      <c r="M129" s="2660"/>
      <c r="N129" s="2660"/>
      <c r="O129" s="2660"/>
      <c r="P129" s="2660"/>
      <c r="Q129" s="2660"/>
      <c r="R129" s="2660"/>
      <c r="S129" s="2661"/>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2662" t="s">
        <v>646</v>
      </c>
      <c r="B133" s="2640"/>
      <c r="C133" s="2640"/>
      <c r="D133" s="2640"/>
      <c r="E133" s="2666" t="s">
        <v>3470</v>
      </c>
      <c r="F133" s="2667"/>
      <c r="G133" s="2667"/>
      <c r="H133" s="2667"/>
      <c r="I133" s="2668"/>
      <c r="J133" s="2672" t="s">
        <v>3471</v>
      </c>
      <c r="K133" s="2675" t="s">
        <v>2928</v>
      </c>
      <c r="L133" s="2675" t="s">
        <v>2929</v>
      </c>
      <c r="M133" s="2678" t="s">
        <v>3481</v>
      </c>
      <c r="N133" s="2679"/>
      <c r="O133" s="2679"/>
      <c r="P133" s="2679"/>
      <c r="Q133" s="2679"/>
      <c r="R133" s="2679"/>
      <c r="S133" s="2680"/>
    </row>
    <row r="134" spans="1:22" s="305" customFormat="1" ht="13.5" customHeight="1">
      <c r="A134" s="2663"/>
      <c r="B134" s="2551"/>
      <c r="C134" s="2551"/>
      <c r="D134" s="2551"/>
      <c r="E134" s="2669"/>
      <c r="F134" s="2670"/>
      <c r="G134" s="2670"/>
      <c r="H134" s="2670"/>
      <c r="I134" s="2671"/>
      <c r="J134" s="2673"/>
      <c r="K134" s="2676"/>
      <c r="L134" s="2676"/>
      <c r="M134" s="2681"/>
      <c r="N134" s="2682"/>
      <c r="O134" s="2682"/>
      <c r="P134" s="2682"/>
      <c r="Q134" s="2682"/>
      <c r="R134" s="2682"/>
      <c r="S134" s="2683"/>
    </row>
    <row r="135" spans="1:22" s="305" customFormat="1" ht="13.5" customHeight="1">
      <c r="A135" s="2663"/>
      <c r="B135" s="2551"/>
      <c r="C135" s="2551"/>
      <c r="D135" s="2551"/>
      <c r="E135" s="2669"/>
      <c r="F135" s="2670"/>
      <c r="G135" s="2670"/>
      <c r="H135" s="2670"/>
      <c r="I135" s="2671"/>
      <c r="J135" s="2673"/>
      <c r="K135" s="2676"/>
      <c r="L135" s="2676"/>
      <c r="M135" s="2681"/>
      <c r="N135" s="2682"/>
      <c r="O135" s="2682"/>
      <c r="P135" s="2682"/>
      <c r="Q135" s="2682"/>
      <c r="R135" s="2682"/>
      <c r="S135" s="2683"/>
    </row>
    <row r="136" spans="1:22" s="305" customFormat="1" ht="23.25" customHeight="1">
      <c r="A136" s="2663"/>
      <c r="B136" s="2551"/>
      <c r="C136" s="2551"/>
      <c r="D136" s="2551"/>
      <c r="E136" s="2684" t="s">
        <v>3745</v>
      </c>
      <c r="F136" s="2685"/>
      <c r="G136" s="2685"/>
      <c r="H136" s="2686"/>
      <c r="I136" s="648"/>
      <c r="J136" s="2673"/>
      <c r="K136" s="2676"/>
      <c r="L136" s="2676"/>
      <c r="M136" s="2681"/>
      <c r="N136" s="2682"/>
      <c r="O136" s="2682"/>
      <c r="P136" s="2682"/>
      <c r="Q136" s="2682"/>
      <c r="R136" s="2682"/>
      <c r="S136" s="2683"/>
    </row>
    <row r="137" spans="1:22" s="305" customFormat="1" ht="13.5" customHeight="1">
      <c r="A137" s="2664"/>
      <c r="B137" s="2665"/>
      <c r="C137" s="2665"/>
      <c r="D137" s="2665"/>
      <c r="E137" s="2687"/>
      <c r="F137" s="2688"/>
      <c r="G137" s="2688"/>
      <c r="H137" s="2689"/>
      <c r="I137" s="899" t="s">
        <v>2527</v>
      </c>
      <c r="J137" s="2674"/>
      <c r="K137" s="2677"/>
      <c r="L137" s="2676"/>
      <c r="M137" s="381" t="s">
        <v>2527</v>
      </c>
      <c r="N137" s="2512" t="s">
        <v>2927</v>
      </c>
      <c r="O137" s="2512"/>
      <c r="P137" s="2512"/>
      <c r="Q137" s="2512"/>
      <c r="R137" s="2512"/>
      <c r="S137" s="2690"/>
    </row>
    <row r="138" spans="1:22" s="305" customFormat="1" ht="24" customHeight="1">
      <c r="A138" s="2649" t="s">
        <v>3465</v>
      </c>
      <c r="B138" s="2650"/>
      <c r="C138" s="2650"/>
      <c r="D138" s="2651"/>
      <c r="E138" s="2642"/>
      <c r="F138" s="2643"/>
      <c r="G138" s="2643"/>
      <c r="H138" s="2643"/>
      <c r="I138" s="2386" t="s">
        <v>3014</v>
      </c>
      <c r="J138" s="2383" t="s">
        <v>3014</v>
      </c>
      <c r="K138" s="2387" t="s">
        <v>2696</v>
      </c>
      <c r="L138" s="2388">
        <v>1E-4</v>
      </c>
      <c r="M138" s="2389" t="s">
        <v>3014</v>
      </c>
      <c r="N138" s="2652"/>
      <c r="O138" s="2643"/>
      <c r="P138" s="2643"/>
      <c r="Q138" s="2643"/>
      <c r="R138" s="2643"/>
      <c r="S138" s="2644"/>
    </row>
    <row r="139" spans="1:22" s="305" customFormat="1" ht="24" customHeight="1">
      <c r="A139" s="2653" t="s">
        <v>3466</v>
      </c>
      <c r="B139" s="2654"/>
      <c r="C139" s="2654"/>
      <c r="D139" s="2655"/>
      <c r="E139" s="2646"/>
      <c r="F139" s="2647"/>
      <c r="G139" s="2647"/>
      <c r="H139" s="2647"/>
      <c r="I139" s="2390"/>
      <c r="J139" s="2384"/>
      <c r="K139" s="2391"/>
      <c r="L139" s="2392"/>
      <c r="M139" s="2393"/>
      <c r="N139" s="2656"/>
      <c r="O139" s="2647"/>
      <c r="P139" s="2647"/>
      <c r="Q139" s="2647"/>
      <c r="R139" s="2647"/>
      <c r="S139" s="2648"/>
      <c r="U139" s="2616" t="s">
        <v>2047</v>
      </c>
      <c r="V139" s="2616"/>
    </row>
    <row r="140" spans="1:22" s="305" customFormat="1" ht="24" customHeight="1">
      <c r="A140" s="2653" t="s">
        <v>3467</v>
      </c>
      <c r="B140" s="2654"/>
      <c r="C140" s="2654"/>
      <c r="D140" s="2655"/>
      <c r="E140" s="2646"/>
      <c r="F140" s="2647"/>
      <c r="G140" s="2647"/>
      <c r="H140" s="2647"/>
      <c r="I140" s="2390"/>
      <c r="J140" s="2384"/>
      <c r="K140" s="2391"/>
      <c r="L140" s="2392"/>
      <c r="M140" s="2393"/>
      <c r="N140" s="2656"/>
      <c r="O140" s="2647"/>
      <c r="P140" s="2647"/>
      <c r="Q140" s="2647"/>
      <c r="R140" s="2647"/>
      <c r="S140" s="2648"/>
      <c r="U140" s="2616"/>
      <c r="V140" s="2616"/>
    </row>
    <row r="141" spans="1:22" s="305" customFormat="1" ht="24" customHeight="1">
      <c r="A141" s="2653" t="s">
        <v>3468</v>
      </c>
      <c r="B141" s="2654"/>
      <c r="C141" s="2654"/>
      <c r="D141" s="2655"/>
      <c r="E141" s="2646"/>
      <c r="F141" s="2647"/>
      <c r="G141" s="2647"/>
      <c r="H141" s="2647"/>
      <c r="I141" s="2390" t="s">
        <v>3014</v>
      </c>
      <c r="J141" s="2384" t="s">
        <v>3014</v>
      </c>
      <c r="K141" s="2391" t="s">
        <v>4569</v>
      </c>
      <c r="L141" s="2392">
        <v>0.99980000000000002</v>
      </c>
      <c r="M141" s="2393" t="s">
        <v>3014</v>
      </c>
      <c r="N141" s="2656"/>
      <c r="O141" s="2647"/>
      <c r="P141" s="2647"/>
      <c r="Q141" s="2647"/>
      <c r="R141" s="2647"/>
      <c r="S141" s="2648"/>
      <c r="U141" s="2616"/>
      <c r="V141" s="2616"/>
    </row>
    <row r="142" spans="1:22" s="305" customFormat="1" ht="24" customHeight="1">
      <c r="A142" s="2653" t="s">
        <v>3469</v>
      </c>
      <c r="B142" s="2654"/>
      <c r="C142" s="2654"/>
      <c r="D142" s="2655"/>
      <c r="E142" s="2646"/>
      <c r="F142" s="2647"/>
      <c r="G142" s="2647"/>
      <c r="H142" s="2647"/>
      <c r="I142" s="2390" t="s">
        <v>3014</v>
      </c>
      <c r="J142" s="2384" t="s">
        <v>3014</v>
      </c>
      <c r="K142" s="2391" t="s">
        <v>4569</v>
      </c>
      <c r="L142" s="2392">
        <v>1E-4</v>
      </c>
      <c r="M142" s="2393" t="s">
        <v>3014</v>
      </c>
      <c r="N142" s="2656"/>
      <c r="O142" s="2647"/>
      <c r="P142" s="2647"/>
      <c r="Q142" s="2647"/>
      <c r="R142" s="2647"/>
      <c r="S142" s="2648"/>
      <c r="U142" s="2616"/>
      <c r="V142" s="2616"/>
    </row>
    <row r="143" spans="1:22" s="305" customFormat="1" ht="24" customHeight="1">
      <c r="A143" s="2653" t="s">
        <v>2914</v>
      </c>
      <c r="B143" s="2654"/>
      <c r="C143" s="2654"/>
      <c r="D143" s="2655"/>
      <c r="E143" s="2646"/>
      <c r="F143" s="2647"/>
      <c r="G143" s="2647"/>
      <c r="H143" s="2647"/>
      <c r="I143" s="2390"/>
      <c r="J143" s="2384"/>
      <c r="K143" s="2391"/>
      <c r="L143" s="2392"/>
      <c r="M143" s="2393"/>
      <c r="N143" s="2656"/>
      <c r="O143" s="2647"/>
      <c r="P143" s="2647"/>
      <c r="Q143" s="2647"/>
      <c r="R143" s="2647"/>
      <c r="S143" s="2648"/>
      <c r="U143" s="2616"/>
      <c r="V143" s="2616"/>
    </row>
    <row r="144" spans="1:22" s="305" customFormat="1" ht="24" customHeight="1">
      <c r="A144" s="2653" t="s">
        <v>659</v>
      </c>
      <c r="B144" s="2654"/>
      <c r="C144" s="2654"/>
      <c r="D144" s="2655"/>
      <c r="E144" s="2646"/>
      <c r="F144" s="2647"/>
      <c r="G144" s="2647"/>
      <c r="H144" s="2647"/>
      <c r="I144" s="2390" t="s">
        <v>3014</v>
      </c>
      <c r="J144" s="2384" t="s">
        <v>3014</v>
      </c>
      <c r="K144" s="2391" t="s">
        <v>4569</v>
      </c>
      <c r="L144" s="2392"/>
      <c r="M144" s="2393" t="s">
        <v>3014</v>
      </c>
      <c r="N144" s="2656"/>
      <c r="O144" s="2647"/>
      <c r="P144" s="2647"/>
      <c r="Q144" s="2647"/>
      <c r="R144" s="2647"/>
      <c r="S144" s="2648"/>
      <c r="U144" s="2616"/>
      <c r="V144" s="2616"/>
    </row>
    <row r="145" spans="1:24" s="305" customFormat="1" ht="24" customHeight="1">
      <c r="A145" s="2653" t="s">
        <v>2915</v>
      </c>
      <c r="B145" s="2654"/>
      <c r="C145" s="2654"/>
      <c r="D145" s="2655"/>
      <c r="E145" s="2646"/>
      <c r="F145" s="2647"/>
      <c r="G145" s="2647"/>
      <c r="H145" s="2647"/>
      <c r="I145" s="2390" t="s">
        <v>3014</v>
      </c>
      <c r="J145" s="2384" t="s">
        <v>3014</v>
      </c>
      <c r="K145" s="2391" t="s">
        <v>2696</v>
      </c>
      <c r="L145" s="2392"/>
      <c r="M145" s="2393" t="s">
        <v>3014</v>
      </c>
      <c r="N145" s="2656"/>
      <c r="O145" s="2647"/>
      <c r="P145" s="2647"/>
      <c r="Q145" s="2647"/>
      <c r="R145" s="2647"/>
      <c r="S145" s="2648"/>
    </row>
    <row r="146" spans="1:24" s="305" customFormat="1" ht="24" customHeight="1">
      <c r="A146" s="2653" t="s">
        <v>2916</v>
      </c>
      <c r="B146" s="2654"/>
      <c r="C146" s="2654"/>
      <c r="D146" s="2655"/>
      <c r="E146" s="2646"/>
      <c r="F146" s="2647"/>
      <c r="G146" s="2647"/>
      <c r="H146" s="2647"/>
      <c r="I146" s="2390"/>
      <c r="J146" s="2384"/>
      <c r="K146" s="2391"/>
      <c r="L146" s="2392"/>
      <c r="M146" s="2393"/>
      <c r="N146" s="2656"/>
      <c r="O146" s="2647"/>
      <c r="P146" s="2647"/>
      <c r="Q146" s="2647"/>
      <c r="R146" s="2647"/>
      <c r="S146" s="2648"/>
    </row>
    <row r="147" spans="1:24" s="305" customFormat="1" ht="24" customHeight="1">
      <c r="A147" s="2653" t="s">
        <v>2918</v>
      </c>
      <c r="B147" s="2654"/>
      <c r="C147" s="2654"/>
      <c r="D147" s="2655"/>
      <c r="E147" s="2646"/>
      <c r="F147" s="2647"/>
      <c r="G147" s="2647"/>
      <c r="H147" s="2647"/>
      <c r="I147" s="2390"/>
      <c r="J147" s="2384"/>
      <c r="K147" s="2391"/>
      <c r="L147" s="2392"/>
      <c r="M147" s="2393"/>
      <c r="N147" s="2656"/>
      <c r="O147" s="2647"/>
      <c r="P147" s="2647"/>
      <c r="Q147" s="2647"/>
      <c r="R147" s="2647"/>
      <c r="S147" s="2648"/>
    </row>
    <row r="148" spans="1:24" s="305" customFormat="1" ht="24" customHeight="1">
      <c r="A148" s="2653" t="s">
        <v>2917</v>
      </c>
      <c r="B148" s="2654"/>
      <c r="C148" s="2654"/>
      <c r="D148" s="2655"/>
      <c r="E148" s="2646"/>
      <c r="F148" s="2647"/>
      <c r="G148" s="2647"/>
      <c r="H148" s="2647"/>
      <c r="I148" s="2390"/>
      <c r="J148" s="2384"/>
      <c r="K148" s="2391"/>
      <c r="L148" s="2392"/>
      <c r="M148" s="2393"/>
      <c r="N148" s="2656"/>
      <c r="O148" s="2647"/>
      <c r="P148" s="2647"/>
      <c r="Q148" s="2647"/>
      <c r="R148" s="2647"/>
      <c r="S148" s="2648"/>
    </row>
    <row r="149" spans="1:24" s="305" customFormat="1" ht="24" customHeight="1">
      <c r="A149" s="2653" t="s">
        <v>1541</v>
      </c>
      <c r="B149" s="2654"/>
      <c r="C149" s="2654"/>
      <c r="D149" s="2655"/>
      <c r="E149" s="2646"/>
      <c r="F149" s="2647"/>
      <c r="G149" s="2647"/>
      <c r="H149" s="2647"/>
      <c r="I149" s="2390" t="s">
        <v>3014</v>
      </c>
      <c r="J149" s="2384" t="s">
        <v>3014</v>
      </c>
      <c r="K149" s="2391" t="s">
        <v>4569</v>
      </c>
      <c r="L149" s="2392"/>
      <c r="M149" s="2393" t="s">
        <v>3014</v>
      </c>
      <c r="N149" s="2656"/>
      <c r="O149" s="2647"/>
      <c r="P149" s="2647"/>
      <c r="Q149" s="2647"/>
      <c r="R149" s="2647"/>
      <c r="S149" s="2648"/>
    </row>
    <row r="150" spans="1:24" s="305" customFormat="1" ht="24" customHeight="1">
      <c r="A150" s="2691" t="s">
        <v>2919</v>
      </c>
      <c r="B150" s="2692"/>
      <c r="C150" s="2692"/>
      <c r="D150" s="2693"/>
      <c r="E150" s="2659"/>
      <c r="F150" s="2660"/>
      <c r="G150" s="2660"/>
      <c r="H150" s="2660"/>
      <c r="I150" s="2394" t="s">
        <v>3014</v>
      </c>
      <c r="J150" s="2385" t="s">
        <v>3014</v>
      </c>
      <c r="K150" s="2395" t="s">
        <v>4569</v>
      </c>
      <c r="L150" s="2396"/>
      <c r="M150" s="2397" t="s">
        <v>3014</v>
      </c>
      <c r="N150" s="2694"/>
      <c r="O150" s="2660"/>
      <c r="P150" s="2660"/>
      <c r="Q150" s="2660"/>
      <c r="R150" s="2660"/>
      <c r="S150" s="2661"/>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95"/>
      <c r="B153" s="2696"/>
      <c r="C153" s="2696"/>
      <c r="D153" s="2696"/>
      <c r="E153" s="2696"/>
      <c r="F153" s="2696"/>
      <c r="G153" s="2696"/>
      <c r="H153" s="2696"/>
      <c r="I153" s="2696"/>
      <c r="J153" s="2696"/>
      <c r="K153" s="2696"/>
      <c r="L153" s="2696"/>
      <c r="M153" s="2697"/>
      <c r="N153" s="2698"/>
      <c r="O153" s="2699"/>
      <c r="P153" s="2699"/>
      <c r="Q153" s="2699"/>
      <c r="R153" s="2699"/>
      <c r="S153" s="2700"/>
      <c r="T153" s="2435" t="s">
        <v>2710</v>
      </c>
      <c r="U153" s="2435"/>
      <c r="V153" s="2435"/>
      <c r="W153" s="2435"/>
      <c r="X153" s="2435"/>
    </row>
    <row r="154" spans="1:24" s="305" customFormat="1" ht="12" customHeight="1">
      <c r="A154" s="311"/>
      <c r="B154" s="324"/>
      <c r="C154" s="324"/>
      <c r="D154" s="324"/>
      <c r="E154" s="324"/>
      <c r="F154" s="324"/>
      <c r="G154" s="324"/>
      <c r="H154" s="324"/>
      <c r="I154" s="324"/>
      <c r="J154" s="324"/>
      <c r="K154" s="324"/>
      <c r="L154" s="324"/>
      <c r="M154" s="324"/>
      <c r="N154" s="324"/>
      <c r="O154" s="324"/>
      <c r="T154" s="2435"/>
      <c r="U154" s="2435"/>
      <c r="V154" s="2435"/>
      <c r="W154" s="2435"/>
      <c r="X154" s="2435"/>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uUtOMGrm/iqQMvoZjZNUQSbgQWFnmn+qlTGTGYN99A87CqJnlnWXkVdYuDMp+5aRUe22We/KGpjqMsaur6FYHQ==" saltValue="RRyHUsJq6ti99z8P7rzR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3"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31" t="str">
        <f>CONCATENATE("PART THREE - SOURCES OF FUNDS","  -  ",'Part I-Project Information'!$O$6," ",'Part I-Project Information'!$F$34,", ",'Part I-Project Information'!$F$38,", ",'Part I-Project Information'!$J$39," County")</f>
        <v>PART THREE - SOURCES OF FUNDS  -  2018-017 Heritage Village at West Lake, Atlanta, Fulton County</v>
      </c>
      <c r="B1" s="2632"/>
      <c r="C1" s="2632"/>
      <c r="D1" s="2632"/>
      <c r="E1" s="2632"/>
      <c r="F1" s="2632"/>
      <c r="G1" s="2632"/>
      <c r="H1" s="2632"/>
      <c r="I1" s="2632"/>
      <c r="J1" s="2632"/>
      <c r="K1" s="2632"/>
      <c r="L1" s="2632"/>
      <c r="M1" s="2632"/>
      <c r="N1" s="2632"/>
      <c r="O1" s="2632"/>
      <c r="P1" s="2632"/>
      <c r="Q1" s="2633"/>
      <c r="S1" s="2708" t="str">
        <f>$A$1</f>
        <v>PART THREE - SOURCES OF FUNDS  -  2018-017 Heritage Village at West Lake, Atlanta, Fulton County</v>
      </c>
      <c r="T1" s="270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2709" t="s">
        <v>2700</v>
      </c>
      <c r="T4" s="2709"/>
    </row>
    <row r="5" spans="1:20" s="278" customFormat="1" ht="16.5" customHeight="1">
      <c r="A5" s="501"/>
      <c r="B5" s="2360" t="s">
        <v>3011</v>
      </c>
      <c r="C5" s="1559" t="s">
        <v>2426</v>
      </c>
      <c r="D5" s="305"/>
      <c r="H5" s="2360"/>
      <c r="I5" s="1559" t="s">
        <v>1549</v>
      </c>
      <c r="L5" s="2360"/>
      <c r="M5" s="305" t="s">
        <v>3919</v>
      </c>
      <c r="S5" s="2710"/>
      <c r="T5" s="2711"/>
    </row>
    <row r="6" spans="1:20" s="278" customFormat="1" ht="16.5" customHeight="1">
      <c r="A6" s="501"/>
      <c r="B6" s="2361"/>
      <c r="C6" s="1559" t="s">
        <v>555</v>
      </c>
      <c r="D6" s="305"/>
      <c r="H6" s="2361"/>
      <c r="I6" s="1559" t="s">
        <v>554</v>
      </c>
      <c r="L6" s="2361"/>
      <c r="M6" s="1559" t="s">
        <v>2618</v>
      </c>
      <c r="S6" s="2712"/>
      <c r="T6" s="2713"/>
    </row>
    <row r="7" spans="1:20" s="278" customFormat="1" ht="16.5" customHeight="1">
      <c r="A7" s="305"/>
      <c r="B7" s="2361"/>
      <c r="C7" s="1559" t="s">
        <v>3916</v>
      </c>
      <c r="F7" s="2716"/>
      <c r="G7" s="2717"/>
      <c r="H7" s="2361"/>
      <c r="I7" s="1559" t="s">
        <v>3706</v>
      </c>
      <c r="L7" s="2361"/>
      <c r="M7" s="1559" t="s">
        <v>2619</v>
      </c>
      <c r="S7" s="2712"/>
      <c r="T7" s="2713"/>
    </row>
    <row r="8" spans="1:20" s="278" customFormat="1" ht="16.5" customHeight="1">
      <c r="A8" s="501"/>
      <c r="B8" s="2361"/>
      <c r="C8" s="1559" t="s">
        <v>1816</v>
      </c>
      <c r="D8" s="305"/>
      <c r="H8" s="2361"/>
      <c r="I8" s="305" t="s">
        <v>2627</v>
      </c>
      <c r="L8" s="2361"/>
      <c r="M8" s="310" t="s">
        <v>3711</v>
      </c>
      <c r="S8" s="2714"/>
      <c r="T8" s="2715"/>
    </row>
    <row r="9" spans="1:20" s="278" customFormat="1" ht="16.5" customHeight="1">
      <c r="A9" s="501"/>
      <c r="B9" s="2361"/>
      <c r="C9" s="1559" t="s">
        <v>556</v>
      </c>
      <c r="H9" s="2361"/>
      <c r="I9" s="305" t="s">
        <v>2625</v>
      </c>
      <c r="L9" s="2361"/>
      <c r="M9" s="310" t="s">
        <v>2626</v>
      </c>
      <c r="S9" s="2710"/>
      <c r="T9" s="2711"/>
    </row>
    <row r="10" spans="1:20" s="278" customFormat="1" ht="16.5" customHeight="1">
      <c r="A10" s="501"/>
      <c r="B10" s="2361"/>
      <c r="C10" s="310" t="s">
        <v>3917</v>
      </c>
      <c r="G10" s="649"/>
      <c r="H10" s="2361"/>
      <c r="I10" s="305" t="s">
        <v>3746</v>
      </c>
      <c r="J10" s="1035"/>
      <c r="K10" s="1035"/>
      <c r="L10" s="2361"/>
      <c r="M10" s="310" t="s">
        <v>3748</v>
      </c>
      <c r="O10" s="2701" t="s">
        <v>3902</v>
      </c>
      <c r="P10" s="2702"/>
      <c r="Q10" s="2703"/>
      <c r="S10" s="2712"/>
      <c r="T10" s="2713"/>
    </row>
    <row r="11" spans="1:20" s="278" customFormat="1" ht="16.5" customHeight="1">
      <c r="A11" s="501"/>
      <c r="B11" s="2361" t="s">
        <v>3011</v>
      </c>
      <c r="C11" s="1559" t="s">
        <v>3749</v>
      </c>
      <c r="D11" s="305"/>
      <c r="E11" s="2718">
        <v>2000000</v>
      </c>
      <c r="F11" s="2719"/>
      <c r="H11" s="2361"/>
      <c r="I11" s="305" t="s">
        <v>3751</v>
      </c>
      <c r="L11" s="2362"/>
      <c r="M11" s="305" t="s">
        <v>3645</v>
      </c>
      <c r="S11" s="2712"/>
      <c r="T11" s="2713"/>
    </row>
    <row r="12" spans="1:20" s="278" customFormat="1" ht="16.5" customHeight="1">
      <c r="A12" s="501"/>
      <c r="B12" s="2362"/>
      <c r="C12" s="1559" t="s">
        <v>3750</v>
      </c>
      <c r="E12" s="2720"/>
      <c r="F12" s="2721"/>
      <c r="H12" s="2361"/>
      <c r="I12" s="521" t="s">
        <v>2814</v>
      </c>
      <c r="J12" s="521"/>
      <c r="K12" s="521"/>
      <c r="L12" s="2363" t="s">
        <v>3011</v>
      </c>
      <c r="M12" s="2722" t="s">
        <v>3713</v>
      </c>
      <c r="N12" s="2558"/>
      <c r="O12" s="2558"/>
      <c r="P12" s="2558"/>
      <c r="Q12" s="2582"/>
      <c r="S12" s="2714"/>
      <c r="T12" s="2715"/>
    </row>
    <row r="13" spans="1:20" s="278" customFormat="1" ht="16.5" customHeight="1">
      <c r="A13" s="501"/>
      <c r="C13" s="278" t="s">
        <v>3747</v>
      </c>
      <c r="E13" s="2701" t="s">
        <v>3472</v>
      </c>
      <c r="F13" s="2702"/>
      <c r="G13" s="2703"/>
      <c r="H13" s="2362"/>
      <c r="I13" s="310" t="s">
        <v>3918</v>
      </c>
      <c r="J13" s="521"/>
      <c r="K13" s="521"/>
      <c r="M13" s="2704" t="s">
        <v>3724</v>
      </c>
      <c r="N13" s="2705"/>
      <c r="O13" s="2705"/>
      <c r="P13" s="2705"/>
      <c r="Q13" s="2706"/>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2592"/>
      <c r="O16" s="2592"/>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2707" t="s">
        <v>1309</v>
      </c>
      <c r="I18" s="2707"/>
      <c r="J18" s="2707"/>
      <c r="K18" s="2707"/>
      <c r="L18" s="2513" t="s">
        <v>2006</v>
      </c>
      <c r="M18" s="2513"/>
      <c r="N18" s="2513" t="s">
        <v>1519</v>
      </c>
      <c r="O18" s="2513"/>
      <c r="P18" s="2513" t="s">
        <v>1643</v>
      </c>
      <c r="Q18" s="2513"/>
      <c r="S18" s="2709" t="s">
        <v>2700</v>
      </c>
      <c r="T18" s="2709"/>
    </row>
    <row r="19" spans="1:20" s="278" customFormat="1" ht="16.5" customHeight="1">
      <c r="A19" s="305"/>
      <c r="B19" s="2738" t="s">
        <v>1603</v>
      </c>
      <c r="C19" s="2739"/>
      <c r="D19" s="2739"/>
      <c r="E19" s="1568"/>
      <c r="F19" s="1568"/>
      <c r="G19" s="1568"/>
      <c r="H19" s="2740" t="s">
        <v>4647</v>
      </c>
      <c r="I19" s="2741"/>
      <c r="J19" s="2741"/>
      <c r="K19" s="2742"/>
      <c r="L19" s="2743">
        <v>2000000</v>
      </c>
      <c r="M19" s="2744"/>
      <c r="N19" s="2745">
        <v>0</v>
      </c>
      <c r="O19" s="2746"/>
      <c r="P19" s="2747">
        <v>24</v>
      </c>
      <c r="Q19" s="2748"/>
      <c r="S19" s="2710"/>
      <c r="T19" s="2711"/>
    </row>
    <row r="20" spans="1:20" s="278" customFormat="1" ht="16.5" customHeight="1">
      <c r="A20" s="305"/>
      <c r="B20" s="2749" t="s">
        <v>1604</v>
      </c>
      <c r="C20" s="2750"/>
      <c r="D20" s="2750"/>
      <c r="E20" s="1570"/>
      <c r="F20" s="1570"/>
      <c r="G20" s="1570"/>
      <c r="H20" s="2751"/>
      <c r="I20" s="2752"/>
      <c r="J20" s="2752"/>
      <c r="K20" s="2753"/>
      <c r="L20" s="2754"/>
      <c r="M20" s="2755"/>
      <c r="N20" s="2723"/>
      <c r="O20" s="2724"/>
      <c r="P20" s="2725"/>
      <c r="Q20" s="2726"/>
      <c r="S20" s="2712"/>
      <c r="T20" s="2713"/>
    </row>
    <row r="21" spans="1:20" s="278" customFormat="1" ht="16.5" customHeight="1">
      <c r="A21" s="305"/>
      <c r="B21" s="2727" t="s">
        <v>1605</v>
      </c>
      <c r="C21" s="2728"/>
      <c r="D21" s="2728"/>
      <c r="E21" s="1567"/>
      <c r="F21" s="1567"/>
      <c r="G21" s="1567"/>
      <c r="H21" s="2729"/>
      <c r="I21" s="2730"/>
      <c r="J21" s="2730"/>
      <c r="K21" s="2731"/>
      <c r="L21" s="2732"/>
      <c r="M21" s="2733"/>
      <c r="N21" s="2734"/>
      <c r="O21" s="2735"/>
      <c r="P21" s="2736"/>
      <c r="Q21" s="2737"/>
      <c r="S21" s="2712"/>
      <c r="T21" s="2713"/>
    </row>
    <row r="22" spans="1:20" s="278" customFormat="1" ht="16.5" customHeight="1">
      <c r="A22" s="305"/>
      <c r="B22" s="2738" t="s">
        <v>2231</v>
      </c>
      <c r="C22" s="2739"/>
      <c r="D22" s="2739"/>
      <c r="E22" s="1570"/>
      <c r="F22" s="1570"/>
      <c r="G22" s="1570"/>
      <c r="H22" s="2756"/>
      <c r="I22" s="2757"/>
      <c r="J22" s="2757"/>
      <c r="K22" s="2758"/>
      <c r="L22" s="2759"/>
      <c r="M22" s="2760"/>
      <c r="N22" s="2761"/>
      <c r="O22" s="2762"/>
      <c r="P22" s="2763"/>
      <c r="Q22" s="2763"/>
      <c r="S22" s="2712"/>
      <c r="T22" s="2713"/>
    </row>
    <row r="23" spans="1:20" s="278" customFormat="1" ht="16.5" customHeight="1">
      <c r="A23" s="305"/>
      <c r="B23" s="2749" t="s">
        <v>809</v>
      </c>
      <c r="C23" s="2750"/>
      <c r="D23" s="2750"/>
      <c r="E23" s="1570"/>
      <c r="H23" s="2751"/>
      <c r="I23" s="2752"/>
      <c r="J23" s="2752"/>
      <c r="K23" s="2753"/>
      <c r="L23" s="2754"/>
      <c r="M23" s="2755"/>
      <c r="N23" s="2761"/>
      <c r="O23" s="2762"/>
      <c r="P23" s="2763"/>
      <c r="Q23" s="2763"/>
      <c r="S23" s="2712"/>
      <c r="T23" s="2713"/>
    </row>
    <row r="24" spans="1:20" s="278" customFormat="1" ht="16.5" customHeight="1">
      <c r="A24" s="305"/>
      <c r="B24" s="2749" t="s">
        <v>647</v>
      </c>
      <c r="C24" s="2750"/>
      <c r="D24" s="2750"/>
      <c r="E24" s="1570"/>
      <c r="H24" s="2751"/>
      <c r="I24" s="2752"/>
      <c r="J24" s="2752"/>
      <c r="K24" s="2753"/>
      <c r="L24" s="2754"/>
      <c r="M24" s="2755"/>
      <c r="N24" s="2761"/>
      <c r="O24" s="2762"/>
      <c r="P24" s="2763"/>
      <c r="Q24" s="2763"/>
      <c r="S24" s="2712"/>
      <c r="T24" s="2713"/>
    </row>
    <row r="25" spans="1:20" s="278" customFormat="1" ht="16.5" customHeight="1">
      <c r="A25" s="305"/>
      <c r="B25" s="2749" t="s">
        <v>810</v>
      </c>
      <c r="C25" s="2750"/>
      <c r="D25" s="2750"/>
      <c r="E25" s="1570"/>
      <c r="H25" s="2751" t="s">
        <v>4592</v>
      </c>
      <c r="I25" s="2752"/>
      <c r="J25" s="2752"/>
      <c r="K25" s="2753"/>
      <c r="L25" s="2754">
        <v>6948480</v>
      </c>
      <c r="M25" s="2755"/>
      <c r="N25" s="305"/>
      <c r="O25" s="305"/>
      <c r="P25" s="305"/>
      <c r="Q25" s="305"/>
      <c r="S25" s="2714"/>
      <c r="T25" s="2715"/>
    </row>
    <row r="26" spans="1:20" s="278" customFormat="1" ht="16.5" customHeight="1">
      <c r="A26" s="305"/>
      <c r="B26" s="2749" t="s">
        <v>811</v>
      </c>
      <c r="C26" s="2750"/>
      <c r="D26" s="2750"/>
      <c r="E26" s="1570"/>
      <c r="H26" s="2751" t="s">
        <v>4592</v>
      </c>
      <c r="I26" s="2752"/>
      <c r="J26" s="2752"/>
      <c r="K26" s="2753"/>
      <c r="L26" s="2754">
        <v>4263840</v>
      </c>
      <c r="M26" s="2755"/>
      <c r="N26" s="305"/>
      <c r="Q26" s="305"/>
      <c r="S26" s="2710"/>
      <c r="T26" s="2711"/>
    </row>
    <row r="27" spans="1:20" s="278" customFormat="1" ht="16.5" customHeight="1">
      <c r="A27" s="305"/>
      <c r="B27" s="1569" t="s">
        <v>244</v>
      </c>
      <c r="C27" s="1570"/>
      <c r="D27" s="2764"/>
      <c r="E27" s="2764"/>
      <c r="F27" s="2764"/>
      <c r="G27" s="2764"/>
      <c r="H27" s="2751"/>
      <c r="I27" s="2752"/>
      <c r="J27" s="2752"/>
      <c r="K27" s="2753"/>
      <c r="L27" s="2754"/>
      <c r="M27" s="2755"/>
      <c r="N27" s="305"/>
      <c r="Q27" s="305"/>
      <c r="S27" s="2712"/>
      <c r="T27" s="2713"/>
    </row>
    <row r="28" spans="1:20" s="278" customFormat="1" ht="16.5" customHeight="1">
      <c r="A28" s="305"/>
      <c r="B28" s="1569" t="s">
        <v>244</v>
      </c>
      <c r="C28" s="1570"/>
      <c r="D28" s="2765"/>
      <c r="E28" s="2765"/>
      <c r="F28" s="2765"/>
      <c r="G28" s="2765"/>
      <c r="H28" s="2751"/>
      <c r="I28" s="2752"/>
      <c r="J28" s="2752"/>
      <c r="K28" s="2753"/>
      <c r="L28" s="2754"/>
      <c r="M28" s="2755"/>
      <c r="N28" s="305"/>
      <c r="S28" s="2712"/>
      <c r="T28" s="2713"/>
    </row>
    <row r="29" spans="1:20" s="278" customFormat="1" ht="16.5" customHeight="1">
      <c r="A29" s="305"/>
      <c r="B29" s="1566" t="s">
        <v>244</v>
      </c>
      <c r="C29" s="1567"/>
      <c r="D29" s="2766"/>
      <c r="E29" s="2766"/>
      <c r="F29" s="2766"/>
      <c r="G29" s="2766"/>
      <c r="H29" s="2729"/>
      <c r="I29" s="2730"/>
      <c r="J29" s="2730"/>
      <c r="K29" s="2731"/>
      <c r="L29" s="2732"/>
      <c r="M29" s="2733"/>
      <c r="N29" s="305"/>
      <c r="S29" s="2712"/>
      <c r="T29" s="2713"/>
    </row>
    <row r="30" spans="1:20" s="278" customFormat="1" ht="16.5" customHeight="1">
      <c r="A30" s="305"/>
      <c r="B30" s="277" t="s">
        <v>1310</v>
      </c>
      <c r="C30" s="305"/>
      <c r="D30" s="305"/>
      <c r="E30" s="305"/>
      <c r="F30" s="305"/>
      <c r="G30" s="305"/>
      <c r="H30" s="305"/>
      <c r="I30" s="305"/>
      <c r="L30" s="2767">
        <f>SUM(L19:L29)</f>
        <v>13212320</v>
      </c>
      <c r="M30" s="2768"/>
      <c r="N30" s="324"/>
      <c r="S30" s="2712"/>
      <c r="T30" s="2713"/>
    </row>
    <row r="31" spans="1:20" s="278" customFormat="1" ht="16.5" customHeight="1">
      <c r="A31" s="305"/>
      <c r="B31" s="1559" t="s">
        <v>1311</v>
      </c>
      <c r="C31" s="305"/>
      <c r="D31" s="305"/>
      <c r="E31" s="305"/>
      <c r="F31" s="305"/>
      <c r="G31" s="305"/>
      <c r="H31" s="305"/>
      <c r="I31" s="305"/>
      <c r="L31" s="276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13212320</v>
      </c>
      <c r="M31" s="2770"/>
      <c r="N31" s="900"/>
      <c r="S31" s="2712"/>
      <c r="T31" s="2713"/>
    </row>
    <row r="32" spans="1:20" s="278" customFormat="1" ht="16.5" customHeight="1">
      <c r="A32" s="305"/>
      <c r="B32" s="310" t="s">
        <v>2173</v>
      </c>
      <c r="C32" s="305"/>
      <c r="D32" s="305"/>
      <c r="E32" s="305"/>
      <c r="F32" s="305"/>
      <c r="G32" s="305"/>
      <c r="H32" s="305"/>
      <c r="I32" s="305"/>
      <c r="L32" s="2771">
        <f>L30-L31</f>
        <v>0</v>
      </c>
      <c r="M32" s="2772"/>
      <c r="N32" s="900"/>
      <c r="S32" s="2714"/>
      <c r="T32" s="2715"/>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2763"/>
      <c r="I35" s="2763"/>
      <c r="K35" s="381" t="s">
        <v>2115</v>
      </c>
      <c r="L35" s="1571" t="s">
        <v>1307</v>
      </c>
      <c r="M35" s="1571" t="s">
        <v>1312</v>
      </c>
      <c r="N35" s="2782" t="s">
        <v>35</v>
      </c>
      <c r="O35" s="2782"/>
      <c r="P35" s="1571"/>
      <c r="Q35" s="307"/>
      <c r="S35" s="355"/>
    </row>
    <row r="36" spans="1:20" s="278" customFormat="1" ht="13.15" customHeight="1">
      <c r="A36" s="305"/>
      <c r="B36" s="1564" t="s">
        <v>1885</v>
      </c>
      <c r="C36" s="1567"/>
      <c r="D36" s="1567"/>
      <c r="E36" s="2524" t="s">
        <v>1309</v>
      </c>
      <c r="F36" s="2524"/>
      <c r="G36" s="2524"/>
      <c r="H36" s="2524"/>
      <c r="I36" s="2513" t="s">
        <v>493</v>
      </c>
      <c r="J36" s="2513"/>
      <c r="K36" s="1558" t="s">
        <v>1819</v>
      </c>
      <c r="L36" s="1558" t="s">
        <v>2230</v>
      </c>
      <c r="M36" s="1558" t="s">
        <v>2230</v>
      </c>
      <c r="N36" s="2783"/>
      <c r="O36" s="2783"/>
      <c r="P36" s="2513" t="s">
        <v>75</v>
      </c>
      <c r="Q36" s="2513"/>
      <c r="S36" s="2709" t="s">
        <v>2700</v>
      </c>
      <c r="T36" s="2709"/>
    </row>
    <row r="37" spans="1:20" s="278" customFormat="1" ht="14.25" customHeight="1">
      <c r="A37" s="305"/>
      <c r="B37" s="2738" t="s">
        <v>2631</v>
      </c>
      <c r="C37" s="2739"/>
      <c r="D37" s="2739"/>
      <c r="E37" s="2740" t="s">
        <v>4647</v>
      </c>
      <c r="F37" s="2741"/>
      <c r="G37" s="2741"/>
      <c r="H37" s="2742"/>
      <c r="I37" s="2743">
        <v>2000000</v>
      </c>
      <c r="J37" s="2744"/>
      <c r="K37" s="2364">
        <v>0.01</v>
      </c>
      <c r="L37" s="2361">
        <v>20</v>
      </c>
      <c r="M37" s="2360">
        <v>20</v>
      </c>
      <c r="N37" s="2800">
        <f>IF(OR(I37&lt;=0,I37=""),"",IF(P37="Amortizing",-PMT(K37/12,M37*12,I37,0,0)*12,""))</f>
        <v>110374.6336698712</v>
      </c>
      <c r="O37" s="2800"/>
      <c r="P37" s="2785" t="s">
        <v>4593</v>
      </c>
      <c r="Q37" s="2785"/>
      <c r="S37" s="2710"/>
      <c r="T37" s="2711"/>
    </row>
    <row r="38" spans="1:20" s="278" customFormat="1" ht="14.25" customHeight="1">
      <c r="A38" s="305"/>
      <c r="B38" s="2749" t="s">
        <v>2632</v>
      </c>
      <c r="C38" s="2750"/>
      <c r="D38" s="2750"/>
      <c r="E38" s="2751"/>
      <c r="F38" s="2752"/>
      <c r="G38" s="2752"/>
      <c r="H38" s="2753"/>
      <c r="I38" s="2779"/>
      <c r="J38" s="2780"/>
      <c r="K38" s="2364"/>
      <c r="L38" s="2361"/>
      <c r="M38" s="2361"/>
      <c r="N38" s="2781" t="str">
        <f>IF(OR(I38&lt;=0,I38=""),"",IF(P38="Amortizing",-PMT(K38/12,M38*12,I38,0,0)*12,""))</f>
        <v/>
      </c>
      <c r="O38" s="2781"/>
      <c r="P38" s="2784"/>
      <c r="Q38" s="2784"/>
      <c r="S38" s="2712"/>
      <c r="T38" s="2713"/>
    </row>
    <row r="39" spans="1:20" s="278" customFormat="1" ht="14.25" customHeight="1">
      <c r="A39" s="305"/>
      <c r="B39" s="2749" t="s">
        <v>2633</v>
      </c>
      <c r="C39" s="2750"/>
      <c r="D39" s="2750"/>
      <c r="E39" s="2751"/>
      <c r="F39" s="2752"/>
      <c r="G39" s="2752"/>
      <c r="H39" s="2753"/>
      <c r="I39" s="2779"/>
      <c r="J39" s="2780"/>
      <c r="K39" s="2364"/>
      <c r="L39" s="2361"/>
      <c r="M39" s="2361"/>
      <c r="N39" s="2781" t="str">
        <f>IF(OR(I39&lt;=0,I39=""),"",IF(P39="Amortizing",-PMT(K39/12,M39*12,I39,0,0)*12,""))</f>
        <v/>
      </c>
      <c r="O39" s="2781"/>
      <c r="P39" s="2784"/>
      <c r="Q39" s="2784"/>
      <c r="S39" s="2712"/>
      <c r="T39" s="2713"/>
    </row>
    <row r="40" spans="1:20" s="278" customFormat="1" ht="14.25" customHeight="1">
      <c r="A40" s="305"/>
      <c r="B40" s="1569" t="s">
        <v>749</v>
      </c>
      <c r="C40" s="2794"/>
      <c r="D40" s="2795"/>
      <c r="E40" s="2751"/>
      <c r="F40" s="2752"/>
      <c r="G40" s="2752"/>
      <c r="H40" s="2753"/>
      <c r="I40" s="2779"/>
      <c r="J40" s="2780"/>
      <c r="K40" s="2365"/>
      <c r="L40" s="2362"/>
      <c r="M40" s="2362"/>
      <c r="N40" s="2796" t="str">
        <f>IF(OR(I40&lt;=0,I40=""),"",IF(P40="Amortizing",-PMT(K40/12,M40*12,I40,0,0)*12,""))</f>
        <v/>
      </c>
      <c r="O40" s="2796"/>
      <c r="P40" s="2797"/>
      <c r="Q40" s="2797"/>
      <c r="S40" s="2712"/>
      <c r="T40" s="2713"/>
    </row>
    <row r="41" spans="1:20" s="278" customFormat="1" ht="14.25" customHeight="1">
      <c r="A41" s="305"/>
      <c r="B41" s="1569" t="s">
        <v>2767</v>
      </c>
      <c r="C41" s="1570"/>
      <c r="D41" s="1575"/>
      <c r="E41" s="2751"/>
      <c r="F41" s="2752"/>
      <c r="G41" s="2752"/>
      <c r="H41" s="2753"/>
      <c r="I41" s="2779"/>
      <c r="J41" s="2780"/>
      <c r="K41" s="480"/>
      <c r="L41" s="1573"/>
      <c r="M41" s="1573"/>
      <c r="N41" s="2798" t="str">
        <f>IF(OR(I41&lt;=0,I41=""),"",IF(P41="Amortizing",-PMT(K41/12,M41*12,I41,0,0)*12,""))</f>
        <v/>
      </c>
      <c r="O41" s="2798"/>
      <c r="P41" s="2799"/>
      <c r="Q41" s="2799"/>
      <c r="S41" s="2712"/>
      <c r="T41" s="2713"/>
    </row>
    <row r="42" spans="1:20" s="278" customFormat="1" ht="14.25" customHeight="1">
      <c r="A42" s="305"/>
      <c r="B42" s="1566" t="s">
        <v>230</v>
      </c>
      <c r="C42" s="1567"/>
      <c r="D42" s="382">
        <f>IF(OR(I42="",I42=0,'Part IV-A-Uses of Funds'!$G$118="",'Part IV-A-Uses of Funds'!$G$118=0),"",I42/'Part IV-A-Uses of Funds'!$G$118)</f>
        <v>8.4555555555555556E-4</v>
      </c>
      <c r="E42" s="2729" t="s">
        <v>4566</v>
      </c>
      <c r="F42" s="2730"/>
      <c r="G42" s="2730"/>
      <c r="H42" s="2731"/>
      <c r="I42" s="2786">
        <v>1522</v>
      </c>
      <c r="J42" s="2787"/>
      <c r="K42" s="2366">
        <v>0</v>
      </c>
      <c r="L42" s="2363">
        <v>10</v>
      </c>
      <c r="M42" s="2363">
        <v>10</v>
      </c>
      <c r="N42" s="2788"/>
      <c r="O42" s="2789"/>
      <c r="P42" s="2790" t="s">
        <v>1175</v>
      </c>
      <c r="Q42" s="2791"/>
      <c r="S42" s="2712"/>
      <c r="T42" s="2713"/>
    </row>
    <row r="43" spans="1:20" s="278" customFormat="1" ht="3" customHeight="1">
      <c r="A43" s="305"/>
      <c r="B43" s="305"/>
      <c r="C43" s="305"/>
      <c r="D43" s="305"/>
      <c r="E43" s="305"/>
      <c r="F43" s="305"/>
      <c r="G43" s="305"/>
      <c r="H43" s="305"/>
      <c r="I43" s="1616"/>
      <c r="J43" s="2367"/>
      <c r="K43" s="1615"/>
      <c r="L43" s="1571"/>
      <c r="M43" s="1571"/>
      <c r="N43" s="1617"/>
      <c r="O43" s="1617"/>
      <c r="P43" s="1571"/>
      <c r="Q43" s="1571"/>
      <c r="S43" s="2368"/>
      <c r="T43" s="2369"/>
    </row>
    <row r="44" spans="1:20" s="278" customFormat="1" ht="14.25" customHeight="1">
      <c r="A44" s="305"/>
      <c r="B44" s="1165" t="s">
        <v>4236</v>
      </c>
      <c r="C44" s="1570"/>
      <c r="E44" s="278" t="s">
        <v>4131</v>
      </c>
      <c r="F44" s="2792">
        <f>IF(OR($I$42="",$I$42=0,'Part VII-Pro Forma'!$S$33=0,'Part VII-Pro Forma'!$S$33=""),"",VLOOKUP($L$42,'Part VII-Pro Forma'!$Q$19:$S$38,3))</f>
        <v>785778.99317739904</v>
      </c>
      <c r="G44" s="2793"/>
      <c r="H44" s="649" t="s">
        <v>4235</v>
      </c>
      <c r="I44" s="2777">
        <f>IF(OR($I$42="",$I$42=0,'Part VII-Pro Forma'!$R$33=0,'Part VII-Pro Forma'!$R$33=""),"",VLOOKUP($L$42,'Part VII-Pro Forma'!$Q$19:$S$33,2))</f>
        <v>1522</v>
      </c>
      <c r="J44" s="2778"/>
      <c r="K44" s="2370"/>
      <c r="L44" s="1571"/>
      <c r="M44" s="1571"/>
      <c r="N44" s="1617"/>
      <c r="O44" s="1617"/>
      <c r="P44" s="1571"/>
      <c r="Q44" s="1571"/>
      <c r="S44" s="2368"/>
      <c r="T44" s="2369"/>
    </row>
    <row r="45" spans="1:20" s="278" customFormat="1" ht="14.25" customHeight="1">
      <c r="A45" s="305"/>
      <c r="B45" s="1165" t="s">
        <v>4294</v>
      </c>
      <c r="C45" s="1570"/>
      <c r="D45" s="1166"/>
      <c r="F45" s="2773">
        <f>I45</f>
        <v>1.9369313931969548E-3</v>
      </c>
      <c r="G45" s="2774"/>
      <c r="H45" s="649" t="s">
        <v>4237</v>
      </c>
      <c r="I45" s="2775">
        <f>IF(OR($F$44 = 0,$F$44 =""),"",$I$44/$F$44)</f>
        <v>1.9369313931969548E-3</v>
      </c>
      <c r="J45" s="2776"/>
      <c r="K45" s="1615"/>
      <c r="L45" s="1571"/>
      <c r="M45" s="1571"/>
      <c r="N45" s="1617"/>
      <c r="O45" s="1617"/>
      <c r="P45" s="1571"/>
      <c r="Q45" s="1571"/>
      <c r="S45" s="2368"/>
      <c r="T45" s="2369"/>
    </row>
    <row r="46" spans="1:20" s="278" customFormat="1" ht="3" customHeight="1">
      <c r="A46" s="305"/>
      <c r="B46" s="305"/>
      <c r="C46" s="305"/>
      <c r="D46" s="305"/>
      <c r="E46" s="305"/>
      <c r="F46" s="305"/>
      <c r="G46" s="305"/>
      <c r="H46" s="305"/>
      <c r="I46" s="2371"/>
      <c r="J46" s="2372"/>
      <c r="K46" s="1615"/>
      <c r="L46" s="1571"/>
      <c r="M46" s="1571"/>
      <c r="N46" s="1617"/>
      <c r="O46" s="1617"/>
      <c r="P46" s="1571"/>
      <c r="Q46" s="1571"/>
      <c r="S46" s="2368"/>
      <c r="T46" s="2369"/>
    </row>
    <row r="47" spans="1:20" s="278" customFormat="1" ht="14.25" customHeight="1">
      <c r="A47" s="305"/>
      <c r="B47" s="2801" t="s">
        <v>2231</v>
      </c>
      <c r="C47" s="2802"/>
      <c r="D47" s="2803"/>
      <c r="E47" s="2740"/>
      <c r="F47" s="2741"/>
      <c r="G47" s="2741"/>
      <c r="H47" s="2742"/>
      <c r="I47" s="2804"/>
      <c r="J47" s="2805"/>
      <c r="K47" s="383"/>
      <c r="L47" s="383"/>
      <c r="M47" s="383"/>
      <c r="N47" s="383"/>
      <c r="O47" s="383"/>
      <c r="P47" s="383"/>
      <c r="Q47" s="383"/>
      <c r="S47" s="2710"/>
      <c r="T47" s="2711"/>
    </row>
    <row r="48" spans="1:20" s="278" customFormat="1" ht="14.25" customHeight="1">
      <c r="A48" s="305"/>
      <c r="B48" s="2749" t="s">
        <v>809</v>
      </c>
      <c r="C48" s="2750"/>
      <c r="D48" s="2806"/>
      <c r="E48" s="2751"/>
      <c r="F48" s="2752"/>
      <c r="G48" s="2752"/>
      <c r="H48" s="2753"/>
      <c r="I48" s="2779"/>
      <c r="J48" s="2780"/>
      <c r="L48" s="2807" t="s">
        <v>522</v>
      </c>
      <c r="M48" s="2807"/>
      <c r="N48" s="2808" t="s">
        <v>523</v>
      </c>
      <c r="O48" s="2808"/>
      <c r="P48" s="413" t="s">
        <v>521</v>
      </c>
      <c r="Q48" s="383"/>
      <c r="S48" s="2712"/>
      <c r="T48" s="2713"/>
    </row>
    <row r="49" spans="1:23" s="278" customFormat="1" ht="14.25" customHeight="1">
      <c r="A49" s="305"/>
      <c r="B49" s="2749" t="s">
        <v>810</v>
      </c>
      <c r="C49" s="2750"/>
      <c r="D49" s="2806"/>
      <c r="E49" s="2751" t="s">
        <v>4592</v>
      </c>
      <c r="F49" s="2752"/>
      <c r="G49" s="2752"/>
      <c r="H49" s="2753"/>
      <c r="I49" s="2779">
        <v>8272000</v>
      </c>
      <c r="J49" s="2779"/>
      <c r="L49" s="2809">
        <f>'Part IV-A-Uses of Funds'!$J$175*10*'Part IV-A-Uses of Funds'!$N$168</f>
        <v>8272000</v>
      </c>
      <c r="M49" s="2809"/>
      <c r="N49" s="2810">
        <f>I49-L49</f>
        <v>0</v>
      </c>
      <c r="O49" s="2810"/>
      <c r="P49" s="414" t="s">
        <v>2577</v>
      </c>
      <c r="Q49" s="383"/>
      <c r="S49" s="2712"/>
      <c r="T49" s="2713"/>
    </row>
    <row r="50" spans="1:23" s="278" customFormat="1" ht="14.25" customHeight="1">
      <c r="A50" s="305"/>
      <c r="B50" s="2749" t="s">
        <v>811</v>
      </c>
      <c r="C50" s="2750"/>
      <c r="D50" s="2806"/>
      <c r="E50" s="2751" t="s">
        <v>4592</v>
      </c>
      <c r="F50" s="2752"/>
      <c r="G50" s="2752"/>
      <c r="H50" s="2753"/>
      <c r="I50" s="2779">
        <v>5076000</v>
      </c>
      <c r="J50" s="2779"/>
      <c r="L50" s="2809">
        <f>'Part IV-A-Uses of Funds'!$J$175*10*'Part IV-A-Uses of Funds'!$Q$168</f>
        <v>5076000</v>
      </c>
      <c r="M50" s="2809"/>
      <c r="N50" s="2810">
        <f>I50-L50</f>
        <v>0</v>
      </c>
      <c r="O50" s="2810"/>
      <c r="P50" s="415">
        <f>I49/I59</f>
        <v>0.53890928981371533</v>
      </c>
      <c r="Q50" s="383"/>
      <c r="S50" s="2712"/>
      <c r="T50" s="2713"/>
    </row>
    <row r="51" spans="1:23" s="278" customFormat="1" ht="14.25" customHeight="1">
      <c r="A51" s="305"/>
      <c r="B51" s="2749" t="s">
        <v>1422</v>
      </c>
      <c r="C51" s="2750"/>
      <c r="D51" s="2806"/>
      <c r="E51" s="2751"/>
      <c r="F51" s="2752"/>
      <c r="G51" s="2752"/>
      <c r="H51" s="2753"/>
      <c r="I51" s="2779"/>
      <c r="J51" s="2779"/>
      <c r="P51" s="415">
        <f>I50/I59</f>
        <v>0.33069433693114353</v>
      </c>
      <c r="Q51" s="383"/>
      <c r="S51" s="2714"/>
      <c r="T51" s="2715"/>
    </row>
    <row r="52" spans="1:23" s="278" customFormat="1" ht="14.25" customHeight="1">
      <c r="A52" s="305"/>
      <c r="B52" s="1569" t="s">
        <v>536</v>
      </c>
      <c r="C52" s="1570"/>
      <c r="D52" s="1575"/>
      <c r="E52" s="2751"/>
      <c r="F52" s="2752"/>
      <c r="G52" s="2752"/>
      <c r="H52" s="2753"/>
      <c r="I52" s="2779"/>
      <c r="J52" s="2779"/>
      <c r="K52" s="305"/>
      <c r="P52" s="416">
        <f>SUM(P50:P51)</f>
        <v>0.8696036267448588</v>
      </c>
      <c r="Q52" s="383"/>
      <c r="S52" s="2712"/>
      <c r="T52" s="2713"/>
    </row>
    <row r="53" spans="1:23" s="278" customFormat="1" ht="14.25" customHeight="1">
      <c r="A53" s="305"/>
      <c r="B53" s="1569" t="s">
        <v>1883</v>
      </c>
      <c r="C53" s="1570"/>
      <c r="D53" s="1575"/>
      <c r="E53" s="2751"/>
      <c r="F53" s="2752"/>
      <c r="G53" s="2752"/>
      <c r="H53" s="2753"/>
      <c r="I53" s="2779"/>
      <c r="J53" s="2779"/>
      <c r="N53" s="384"/>
      <c r="O53" s="384"/>
      <c r="P53" s="384"/>
      <c r="Q53" s="383"/>
      <c r="S53" s="2712"/>
      <c r="T53" s="2713"/>
    </row>
    <row r="54" spans="1:23" s="278" customFormat="1" ht="14.25" customHeight="1">
      <c r="A54" s="305"/>
      <c r="B54" s="1569" t="s">
        <v>1884</v>
      </c>
      <c r="C54" s="1570"/>
      <c r="D54" s="1575"/>
      <c r="E54" s="2751"/>
      <c r="F54" s="2752"/>
      <c r="G54" s="2752"/>
      <c r="H54" s="2753"/>
      <c r="I54" s="2779"/>
      <c r="J54" s="2779"/>
      <c r="M54" s="384"/>
      <c r="N54" s="384"/>
      <c r="O54" s="384"/>
      <c r="P54" s="384"/>
      <c r="Q54" s="383"/>
      <c r="S54" s="2712"/>
      <c r="T54" s="2713"/>
    </row>
    <row r="55" spans="1:23" s="278" customFormat="1" ht="14.25" customHeight="1">
      <c r="A55" s="305"/>
      <c r="B55" s="1569" t="s">
        <v>749</v>
      </c>
      <c r="C55" s="2764"/>
      <c r="D55" s="2764"/>
      <c r="E55" s="2751"/>
      <c r="F55" s="2752"/>
      <c r="G55" s="2752"/>
      <c r="H55" s="2753"/>
      <c r="I55" s="2779"/>
      <c r="J55" s="2779"/>
      <c r="M55" s="384"/>
      <c r="N55" s="384"/>
      <c r="O55" s="384"/>
      <c r="P55" s="384"/>
      <c r="Q55" s="383"/>
      <c r="S55" s="2712"/>
      <c r="T55" s="2713"/>
    </row>
    <row r="56" spans="1:23" s="278" customFormat="1" ht="14.25" customHeight="1">
      <c r="A56" s="305"/>
      <c r="B56" s="1569" t="s">
        <v>749</v>
      </c>
      <c r="C56" s="2765"/>
      <c r="D56" s="2765"/>
      <c r="E56" s="2751"/>
      <c r="F56" s="2752"/>
      <c r="G56" s="2752"/>
      <c r="H56" s="2753"/>
      <c r="I56" s="2779"/>
      <c r="J56" s="2779"/>
      <c r="K56" s="305"/>
      <c r="L56" s="385"/>
      <c r="M56" s="384"/>
      <c r="N56" s="384"/>
      <c r="O56" s="384"/>
      <c r="P56" s="384"/>
      <c r="Q56" s="383"/>
      <c r="S56" s="2712"/>
      <c r="T56" s="2713"/>
    </row>
    <row r="57" spans="1:23" s="278" customFormat="1" ht="14.25" customHeight="1">
      <c r="A57" s="305"/>
      <c r="B57" s="1566" t="s">
        <v>749</v>
      </c>
      <c r="C57" s="2766"/>
      <c r="D57" s="2766"/>
      <c r="E57" s="2729"/>
      <c r="F57" s="2730"/>
      <c r="G57" s="2730"/>
      <c r="H57" s="2731"/>
      <c r="I57" s="2812"/>
      <c r="J57" s="2812"/>
      <c r="K57" s="305"/>
      <c r="L57" s="385"/>
      <c r="M57" s="384"/>
      <c r="N57" s="384"/>
      <c r="O57" s="384"/>
      <c r="P57" s="384"/>
      <c r="Q57" s="383"/>
      <c r="S57" s="2712"/>
      <c r="T57" s="2713"/>
    </row>
    <row r="58" spans="1:23" s="278" customFormat="1" ht="14.25" customHeight="1">
      <c r="A58" s="305"/>
      <c r="B58" s="1559" t="s">
        <v>2232</v>
      </c>
      <c r="C58" s="305"/>
      <c r="D58" s="305"/>
      <c r="E58" s="305"/>
      <c r="F58" s="305"/>
      <c r="G58" s="305"/>
      <c r="I58" s="2813">
        <f>SUM(I37:J42)+SUM(I47:J57)</f>
        <v>15349522</v>
      </c>
      <c r="J58" s="2814"/>
      <c r="K58" s="305"/>
      <c r="L58" s="385"/>
      <c r="M58" s="384"/>
      <c r="N58" s="384"/>
      <c r="O58" s="384"/>
      <c r="P58" s="384"/>
      <c r="Q58" s="383"/>
      <c r="S58" s="2712"/>
      <c r="T58" s="2713"/>
    </row>
    <row r="59" spans="1:23" s="278" customFormat="1" ht="14.25" customHeight="1" thickBot="1">
      <c r="A59" s="305"/>
      <c r="B59" s="1559" t="s">
        <v>2233</v>
      </c>
      <c r="C59" s="305"/>
      <c r="D59" s="305"/>
      <c r="E59" s="305"/>
      <c r="F59" s="305"/>
      <c r="G59" s="305"/>
      <c r="I59" s="2815">
        <f>'Part IV-A-Uses of Funds'!$G$132</f>
        <v>15349522</v>
      </c>
      <c r="J59" s="2816"/>
      <c r="K59" s="305"/>
      <c r="L59" s="385"/>
      <c r="M59" s="384"/>
      <c r="N59" s="384"/>
      <c r="O59" s="384"/>
      <c r="P59" s="384"/>
      <c r="Q59" s="383"/>
      <c r="S59" s="2712"/>
      <c r="T59" s="2713"/>
    </row>
    <row r="60" spans="1:23" s="278" customFormat="1" ht="14.25" customHeight="1" thickBot="1">
      <c r="A60" s="305"/>
      <c r="B60" s="310" t="s">
        <v>1537</v>
      </c>
      <c r="C60" s="305"/>
      <c r="D60" s="305"/>
      <c r="E60" s="305"/>
      <c r="F60" s="305"/>
      <c r="G60" s="305"/>
      <c r="I60" s="2817">
        <f>I58-I59</f>
        <v>0</v>
      </c>
      <c r="J60" s="2818"/>
      <c r="K60" s="305"/>
      <c r="L60" s="385"/>
      <c r="M60" s="384"/>
      <c r="N60" s="384"/>
      <c r="O60" s="384"/>
      <c r="P60" s="384"/>
      <c r="Q60" s="383"/>
      <c r="S60" s="2714"/>
      <c r="T60" s="2715"/>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0" t="s">
        <v>4667</v>
      </c>
      <c r="B64" s="2820"/>
      <c r="C64" s="2820"/>
      <c r="D64" s="2820"/>
      <c r="E64" s="2820"/>
      <c r="F64" s="2820"/>
      <c r="G64" s="2820"/>
      <c r="H64" s="2820"/>
      <c r="I64" s="2820"/>
      <c r="J64" s="2820"/>
      <c r="K64" s="2820"/>
      <c r="L64" s="2820"/>
      <c r="M64" s="2819"/>
      <c r="N64" s="2819"/>
      <c r="O64" s="2819"/>
      <c r="P64" s="2819"/>
      <c r="Q64" s="2819"/>
      <c r="S64" s="2811" t="s">
        <v>2710</v>
      </c>
      <c r="T64" s="2811"/>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BpB47IjCBWOa35qX2JMAsK/bc7bggmpWHH6c6b7HFxkO5rKT6ZrP5cwkNrSJZOUCuBg811tlufCGQ165OK3i/Q==" saltValue="RGz72iHm3xv1lJJDiGxtO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9" t="e">
        <f>CONCATENATE("PART III B: USD 538 LOAN","  -  ",#REF!," ",#REF!,", ",#REF!,", ",#REF!," County")</f>
        <v>#REF!</v>
      </c>
      <c r="B1" s="2830"/>
      <c r="C1" s="2830"/>
      <c r="D1" s="2830"/>
      <c r="E1" s="2830"/>
      <c r="F1" s="2831"/>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2" t="s">
        <v>220</v>
      </c>
      <c r="B3" s="2822"/>
      <c r="C3" s="2822"/>
      <c r="D3" s="2822"/>
      <c r="E3" s="2822"/>
      <c r="F3" s="2822"/>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3" t="s">
        <v>129</v>
      </c>
      <c r="B14" s="2823"/>
      <c r="C14" s="2823"/>
      <c r="D14" s="2823"/>
      <c r="E14" s="2823"/>
      <c r="F14" s="2823"/>
      <c r="G14" s="200"/>
      <c r="H14" s="200"/>
    </row>
    <row r="15" spans="1:17" ht="5.45" customHeight="1">
      <c r="A15" s="29"/>
      <c r="E15" s="211"/>
      <c r="F15" s="200"/>
      <c r="G15" s="200"/>
      <c r="H15" s="200"/>
    </row>
    <row r="16" spans="1:17" ht="13.15" customHeight="1">
      <c r="A16" s="213" t="s">
        <v>2496</v>
      </c>
      <c r="B16" s="214" t="s">
        <v>2493</v>
      </c>
      <c r="C16" s="214" t="s">
        <v>2494</v>
      </c>
      <c r="D16" s="2832" t="s">
        <v>2270</v>
      </c>
      <c r="E16" s="2832"/>
      <c r="F16" s="200"/>
      <c r="G16" s="200"/>
      <c r="H16" s="200"/>
    </row>
    <row r="17" spans="1:8" ht="12.6" customHeight="1">
      <c r="A17" s="83">
        <v>1</v>
      </c>
      <c r="B17" s="189">
        <f>IF(A17&gt;$C$9,0,SUM(C64:C75)*($C$6/$C$7))</f>
        <v>0</v>
      </c>
      <c r="C17" s="212">
        <f>IF(A17&gt;C9,0,(E63+K63)*$C$8)</f>
        <v>0</v>
      </c>
      <c r="D17" s="2827">
        <f t="shared" ref="D17:D56" si="0">IF(A17&gt;$C$9,0,$C$11+C17)</f>
        <v>0</v>
      </c>
      <c r="E17" s="2827"/>
      <c r="F17" s="200"/>
      <c r="G17" s="200"/>
      <c r="H17" s="200"/>
    </row>
    <row r="18" spans="1:8" ht="12.6" customHeight="1">
      <c r="A18" s="83">
        <v>2</v>
      </c>
      <c r="B18" s="189">
        <f>IF(A18&gt;C9,0,SUM(C76:C87)*($C$6/$C$7))</f>
        <v>0</v>
      </c>
      <c r="C18" s="219">
        <f>IF(A18&gt;C9,0,(E75+K75)*$C$8)</f>
        <v>0</v>
      </c>
      <c r="D18" s="2825">
        <f t="shared" si="0"/>
        <v>0</v>
      </c>
      <c r="E18" s="2825"/>
      <c r="F18" s="200"/>
      <c r="G18" s="200"/>
      <c r="H18" s="200"/>
    </row>
    <row r="19" spans="1:8" ht="12.6" customHeight="1">
      <c r="A19" s="83">
        <v>3</v>
      </c>
      <c r="B19" s="189">
        <f>IF(A19&gt;C9,0,SUM(C88:C99)*($C$6/$C$7))</f>
        <v>0</v>
      </c>
      <c r="C19" s="212">
        <f>IF(A19&gt;C9,0,(E87+K87)*$C$8)</f>
        <v>0</v>
      </c>
      <c r="D19" s="2825">
        <f t="shared" si="0"/>
        <v>0</v>
      </c>
      <c r="E19" s="2825"/>
      <c r="F19" s="200"/>
      <c r="G19" s="200"/>
      <c r="H19" s="200"/>
    </row>
    <row r="20" spans="1:8" ht="12.6" customHeight="1">
      <c r="A20" s="83">
        <v>4</v>
      </c>
      <c r="B20" s="189">
        <f>IF(A20&gt;C9,0,SUM(C100:C111)*($C$6/$C$7))</f>
        <v>0</v>
      </c>
      <c r="C20" s="212">
        <f>IF(A20&gt;C9,0,(E99+K99)*$C$8)</f>
        <v>0</v>
      </c>
      <c r="D20" s="2825">
        <f t="shared" si="0"/>
        <v>0</v>
      </c>
      <c r="E20" s="2825"/>
      <c r="F20" s="200"/>
      <c r="G20" s="200"/>
      <c r="H20" s="200"/>
    </row>
    <row r="21" spans="1:8" ht="12.6" customHeight="1">
      <c r="A21" s="83">
        <v>5</v>
      </c>
      <c r="B21" s="189">
        <f>IF(A21&gt;C9,0,SUM(C112:C123)*($C$6/$C$7))</f>
        <v>0</v>
      </c>
      <c r="C21" s="212">
        <f>IF(A21&gt;C9,0,(E111+K111)*$C$8)</f>
        <v>0</v>
      </c>
      <c r="D21" s="2826">
        <f t="shared" si="0"/>
        <v>0</v>
      </c>
      <c r="E21" s="2826"/>
      <c r="F21" s="200"/>
      <c r="G21" s="200"/>
      <c r="H21" s="200"/>
    </row>
    <row r="22" spans="1:8" ht="12.6" customHeight="1">
      <c r="A22" s="190">
        <v>6</v>
      </c>
      <c r="B22" s="191">
        <f>IF(A22&gt;C9,0,SUM(C124:C135)*($C$6/$C$7))</f>
        <v>0</v>
      </c>
      <c r="C22" s="216">
        <f>IF(A22&gt;C9,0,(E123+K123)*$C$8)</f>
        <v>0</v>
      </c>
      <c r="D22" s="2825">
        <f t="shared" si="0"/>
        <v>0</v>
      </c>
      <c r="E22" s="2825"/>
      <c r="F22" s="200"/>
      <c r="G22" s="200"/>
      <c r="H22" s="200"/>
    </row>
    <row r="23" spans="1:8" ht="12.6" customHeight="1">
      <c r="A23" s="192">
        <v>7</v>
      </c>
      <c r="B23" s="193">
        <f>IF(A23&gt;C9,0,SUM(C136:C147)*($C$6/$C$7))</f>
        <v>0</v>
      </c>
      <c r="C23" s="194">
        <f>IF(A23&gt;C9,0,(E135+K135)*$C$8)</f>
        <v>0</v>
      </c>
      <c r="D23" s="2825">
        <f t="shared" si="0"/>
        <v>0</v>
      </c>
      <c r="E23" s="2825"/>
      <c r="F23" s="200"/>
      <c r="G23" s="200"/>
      <c r="H23" s="200"/>
    </row>
    <row r="24" spans="1:8" ht="12.6" customHeight="1">
      <c r="A24" s="192">
        <v>8</v>
      </c>
      <c r="B24" s="193">
        <f>IF(A24&gt;C9,0,SUM(C148:C159)*($C$6/$C$7))</f>
        <v>0</v>
      </c>
      <c r="C24" s="194">
        <f>IF(A24&gt;C9,0,(E147+K147)*$C$8)</f>
        <v>0</v>
      </c>
      <c r="D24" s="2825">
        <f t="shared" si="0"/>
        <v>0</v>
      </c>
      <c r="E24" s="2825"/>
      <c r="F24" s="200"/>
      <c r="G24" s="200"/>
      <c r="H24" s="200"/>
    </row>
    <row r="25" spans="1:8" ht="12.6" customHeight="1">
      <c r="A25" s="192">
        <v>9</v>
      </c>
      <c r="B25" s="193">
        <f>IF(A25&gt;C9,0,SUM(C160:C171)*($C$6/$C$7))</f>
        <v>0</v>
      </c>
      <c r="C25" s="194">
        <f>IF(A25&gt;C9,0,(E159+K159)*$C$8)</f>
        <v>0</v>
      </c>
      <c r="D25" s="2825">
        <f t="shared" si="0"/>
        <v>0</v>
      </c>
      <c r="E25" s="2825"/>
      <c r="F25" s="200"/>
      <c r="G25" s="200"/>
      <c r="H25" s="200"/>
    </row>
    <row r="26" spans="1:8" ht="12.6" customHeight="1">
      <c r="A26" s="195">
        <v>10</v>
      </c>
      <c r="B26" s="196">
        <f>IF(A26&gt;C9,0,SUM(C172:C183)*($C$6/$C$7))</f>
        <v>0</v>
      </c>
      <c r="C26" s="215">
        <f>IF(A26&gt;C9,0,(E171+K171)*$C$8)</f>
        <v>0</v>
      </c>
      <c r="D26" s="2826">
        <f t="shared" si="0"/>
        <v>0</v>
      </c>
      <c r="E26" s="2826"/>
      <c r="F26" s="200"/>
      <c r="G26" s="200"/>
      <c r="H26" s="200"/>
    </row>
    <row r="27" spans="1:8" ht="12.6" customHeight="1">
      <c r="A27" s="197">
        <v>11</v>
      </c>
      <c r="B27" s="189">
        <f>IF(A27&gt;C9,0,SUM(C184:C195)*($C$6/$C$7))</f>
        <v>0</v>
      </c>
      <c r="C27" s="212">
        <f>IF(A27&gt;C9,0,(E183+K183)*$C$8)</f>
        <v>0</v>
      </c>
      <c r="D27" s="2825">
        <f t="shared" si="0"/>
        <v>0</v>
      </c>
      <c r="E27" s="2825"/>
      <c r="F27" s="200"/>
      <c r="G27" s="200"/>
      <c r="H27" s="200"/>
    </row>
    <row r="28" spans="1:8" ht="12.6" customHeight="1">
      <c r="A28" s="197">
        <v>12</v>
      </c>
      <c r="B28" s="189">
        <f>IF(A28&gt;C9,0,SUM(C196:C207)*($C$6/$C$7))</f>
        <v>0</v>
      </c>
      <c r="C28" s="212">
        <f>IF(A28&gt;C9,0,(E195+K195)*$C$8)</f>
        <v>0</v>
      </c>
      <c r="D28" s="2825">
        <f t="shared" si="0"/>
        <v>0</v>
      </c>
      <c r="E28" s="2825"/>
      <c r="F28" s="200"/>
      <c r="G28" s="200"/>
      <c r="H28" s="200"/>
    </row>
    <row r="29" spans="1:8" ht="12.6" customHeight="1">
      <c r="A29" s="197">
        <v>13</v>
      </c>
      <c r="B29" s="189">
        <f>IF(A29&gt;C9,0,SUM(C208:C219)*($C$6/$C$7))</f>
        <v>0</v>
      </c>
      <c r="C29" s="212">
        <f>IF(A29&gt;C9,0,(E207+K207)*$C$8)</f>
        <v>0</v>
      </c>
      <c r="D29" s="2825">
        <f t="shared" si="0"/>
        <v>0</v>
      </c>
      <c r="E29" s="2825"/>
      <c r="F29" s="200"/>
      <c r="G29" s="200"/>
      <c r="H29" s="200"/>
    </row>
    <row r="30" spans="1:8" ht="12.6" customHeight="1">
      <c r="A30" s="197">
        <v>14</v>
      </c>
      <c r="B30" s="189">
        <f>IF(A30&gt;C9,0,SUM(C220:C231)*($C$6/$C$7))</f>
        <v>0</v>
      </c>
      <c r="C30" s="212">
        <f>IF(A30&gt;C9,0,(E219+K219)*$C$8)</f>
        <v>0</v>
      </c>
      <c r="D30" s="2825">
        <f t="shared" si="0"/>
        <v>0</v>
      </c>
      <c r="E30" s="2825"/>
      <c r="F30" s="200"/>
      <c r="G30" s="200"/>
      <c r="H30" s="200"/>
    </row>
    <row r="31" spans="1:8" ht="12.6" customHeight="1">
      <c r="A31" s="197">
        <v>15</v>
      </c>
      <c r="B31" s="189">
        <f>IF(A31&gt;C9,0,SUM(C232:C243)*($C$6/$C$7))</f>
        <v>0</v>
      </c>
      <c r="C31" s="212">
        <f>IF(A31&gt;C9,0,(E231+K231)*$C$8)</f>
        <v>0</v>
      </c>
      <c r="D31" s="2826">
        <f t="shared" si="0"/>
        <v>0</v>
      </c>
      <c r="E31" s="2826"/>
      <c r="F31" s="200"/>
      <c r="G31" s="200"/>
      <c r="H31" s="200"/>
    </row>
    <row r="32" spans="1:8" ht="12.6" customHeight="1">
      <c r="A32" s="199">
        <v>16</v>
      </c>
      <c r="B32" s="191">
        <f>IF(A32&gt;C9,0,SUM(C244:C255)*($C$6/$C$7))</f>
        <v>0</v>
      </c>
      <c r="C32" s="216">
        <f>IF(A32&gt;C9,0,(E243+K243)*$C$8)</f>
        <v>0</v>
      </c>
      <c r="D32" s="2825">
        <f t="shared" si="0"/>
        <v>0</v>
      </c>
      <c r="E32" s="2825"/>
      <c r="F32" s="200"/>
      <c r="G32" s="200"/>
      <c r="H32" s="200"/>
    </row>
    <row r="33" spans="1:8" ht="12.6" customHeight="1">
      <c r="A33" s="192">
        <v>17</v>
      </c>
      <c r="B33" s="193">
        <f>IF(A33&gt;C9,0,SUM(C256:C267)*($C$6/$C$7))</f>
        <v>0</v>
      </c>
      <c r="C33" s="194">
        <f>IF(A33&gt;C9,0,(E255+K255)*$C$8)</f>
        <v>0</v>
      </c>
      <c r="D33" s="2825">
        <f t="shared" si="0"/>
        <v>0</v>
      </c>
      <c r="E33" s="2825"/>
      <c r="F33" s="200"/>
      <c r="G33" s="200"/>
      <c r="H33" s="200"/>
    </row>
    <row r="34" spans="1:8" ht="12.6" customHeight="1">
      <c r="A34" s="192">
        <v>18</v>
      </c>
      <c r="B34" s="193">
        <f>IF(A34&gt;C9,0,SUM(C268:C279)*($C$6/$C$7))</f>
        <v>0</v>
      </c>
      <c r="C34" s="194">
        <f>IF(A34&gt;C9,0,(E267+K267)*$C$8)</f>
        <v>0</v>
      </c>
      <c r="D34" s="2825">
        <f t="shared" si="0"/>
        <v>0</v>
      </c>
      <c r="E34" s="2825"/>
      <c r="F34" s="200"/>
      <c r="G34" s="200"/>
      <c r="H34" s="200"/>
    </row>
    <row r="35" spans="1:8" ht="12.6" customHeight="1">
      <c r="A35" s="192">
        <v>19</v>
      </c>
      <c r="B35" s="193">
        <f>IF(A35&gt;C9,0,SUM(C280:C291)*($C$6/$C$7))</f>
        <v>0</v>
      </c>
      <c r="C35" s="194">
        <f>IF(A35&gt;C9,0,(E279+K279)*$C$8)</f>
        <v>0</v>
      </c>
      <c r="D35" s="2825">
        <f t="shared" si="0"/>
        <v>0</v>
      </c>
      <c r="E35" s="2825"/>
      <c r="F35" s="200"/>
      <c r="G35" s="200"/>
      <c r="H35" s="200"/>
    </row>
    <row r="36" spans="1:8" ht="12.6" customHeight="1">
      <c r="A36" s="195">
        <v>20</v>
      </c>
      <c r="B36" s="196">
        <f>IF(A36&gt;C9,0,SUM(C292:C303)*($C$6/$C$7))</f>
        <v>0</v>
      </c>
      <c r="C36" s="215">
        <f>IF(A36&gt;C9,0,(E291+K291)*$C$8)</f>
        <v>0</v>
      </c>
      <c r="D36" s="2826">
        <f t="shared" si="0"/>
        <v>0</v>
      </c>
      <c r="E36" s="2826"/>
      <c r="F36" s="200"/>
      <c r="G36" s="200"/>
      <c r="H36" s="200"/>
    </row>
    <row r="37" spans="1:8" ht="12.6" customHeight="1">
      <c r="A37" s="83">
        <v>21</v>
      </c>
      <c r="B37" s="191">
        <f>IF(A37&gt;C9,0,SUM(C293:C304)*($C$6/$C$7))</f>
        <v>0</v>
      </c>
      <c r="C37" s="216">
        <f>IF(A37&gt;C9,0,(E303+K303)*$C$8)</f>
        <v>0</v>
      </c>
      <c r="D37" s="2828">
        <f t="shared" si="0"/>
        <v>0</v>
      </c>
      <c r="E37" s="2828"/>
      <c r="F37" s="200"/>
      <c r="G37" s="200"/>
      <c r="H37" s="200"/>
    </row>
    <row r="38" spans="1:8" ht="12.6" customHeight="1">
      <c r="A38" s="83">
        <v>22</v>
      </c>
      <c r="B38" s="193">
        <f>IF(A38&gt;C9,0,SUM(C294:C305)*($C$6/$C$7))</f>
        <v>0</v>
      </c>
      <c r="C38" s="194">
        <f>IF(A38&gt;C9,0,(E315+K315)*$C$8)</f>
        <v>0</v>
      </c>
      <c r="D38" s="2825">
        <f t="shared" si="0"/>
        <v>0</v>
      </c>
      <c r="E38" s="2825"/>
      <c r="F38" s="200"/>
      <c r="G38" s="200"/>
      <c r="H38" s="200"/>
    </row>
    <row r="39" spans="1:8" ht="12.6" customHeight="1">
      <c r="A39" s="83">
        <v>23</v>
      </c>
      <c r="B39" s="193">
        <f>IF(A39&gt;C9,0,SUM(C295:C306)*($C$6/$C$7))</f>
        <v>0</v>
      </c>
      <c r="C39" s="194">
        <f>IF(A39&gt;C9,0,(E327+K327)*$C$8)</f>
        <v>0</v>
      </c>
      <c r="D39" s="2825">
        <f t="shared" si="0"/>
        <v>0</v>
      </c>
      <c r="E39" s="2825"/>
      <c r="F39" s="200"/>
      <c r="G39" s="200"/>
      <c r="H39" s="200"/>
    </row>
    <row r="40" spans="1:8" ht="12.6" customHeight="1">
      <c r="A40" s="83">
        <v>24</v>
      </c>
      <c r="B40" s="193">
        <f>IF(A40&gt;C9,0,SUM(C296:C307)*($C$6/$C$7))</f>
        <v>0</v>
      </c>
      <c r="C40" s="194">
        <f>IF(A40&gt;C9,0,(E339+K339)*$C$8)</f>
        <v>0</v>
      </c>
      <c r="D40" s="2825">
        <f t="shared" si="0"/>
        <v>0</v>
      </c>
      <c r="E40" s="2825"/>
      <c r="F40" s="200"/>
      <c r="G40" s="200"/>
      <c r="H40" s="200"/>
    </row>
    <row r="41" spans="1:8" ht="12.6" customHeight="1">
      <c r="A41" s="83">
        <v>25</v>
      </c>
      <c r="B41" s="196">
        <f>IF(A41&gt;C9,0,SUM(C297:C308)*($C$6/$C$7))</f>
        <v>0</v>
      </c>
      <c r="C41" s="215">
        <f>IF(A41&gt;C9,0,(E351+K351)*$C$8)</f>
        <v>0</v>
      </c>
      <c r="D41" s="2826">
        <f t="shared" si="0"/>
        <v>0</v>
      </c>
      <c r="E41" s="2826"/>
      <c r="F41" s="200"/>
      <c r="G41" s="200"/>
      <c r="H41" s="200"/>
    </row>
    <row r="42" spans="1:8" ht="12.6" customHeight="1">
      <c r="A42" s="190">
        <v>26</v>
      </c>
      <c r="B42" s="191">
        <f>IF(A42&gt;C9,0,SUM(C298:C309)*($C$6/$C$7))</f>
        <v>0</v>
      </c>
      <c r="C42" s="216">
        <f>IF(A42&gt;C9,0,(E363+K363)*$C$8)</f>
        <v>0</v>
      </c>
      <c r="D42" s="2828">
        <f t="shared" si="0"/>
        <v>0</v>
      </c>
      <c r="E42" s="2828"/>
      <c r="F42" s="200"/>
      <c r="G42" s="200"/>
      <c r="H42" s="200"/>
    </row>
    <row r="43" spans="1:8" ht="12.6" customHeight="1">
      <c r="A43" s="192">
        <v>27</v>
      </c>
      <c r="B43" s="193">
        <f>IF(A43&gt;C9,0,SUM(C299:C310)*($C$6/$C$7))</f>
        <v>0</v>
      </c>
      <c r="C43" s="194">
        <f>IF(A43&gt;C9,0,(E375+K375)*$C$8)</f>
        <v>0</v>
      </c>
      <c r="D43" s="2825">
        <f t="shared" si="0"/>
        <v>0</v>
      </c>
      <c r="E43" s="2825"/>
      <c r="F43" s="200"/>
      <c r="G43" s="200"/>
      <c r="H43" s="200"/>
    </row>
    <row r="44" spans="1:8" ht="12.6" customHeight="1">
      <c r="A44" s="192">
        <v>28</v>
      </c>
      <c r="B44" s="193">
        <f>IF(A44&gt;C9,0,SUM(C300:C311)*($C$6/$C$7))</f>
        <v>0</v>
      </c>
      <c r="C44" s="194">
        <f>IF(A44&gt;C9,0,(E387+K387)*$C$8)</f>
        <v>0</v>
      </c>
      <c r="D44" s="2825">
        <f t="shared" si="0"/>
        <v>0</v>
      </c>
      <c r="E44" s="2825"/>
      <c r="F44" s="200"/>
      <c r="G44" s="200"/>
      <c r="H44" s="200"/>
    </row>
    <row r="45" spans="1:8" ht="12.6" customHeight="1">
      <c r="A45" s="192">
        <v>29</v>
      </c>
      <c r="B45" s="193">
        <f>IF(A45&gt;C9,0,SUM(C301:C312)*($C$6/$C$7))</f>
        <v>0</v>
      </c>
      <c r="C45" s="194">
        <f>IF(A45&gt;C9,0,(E411+K411)*$C$8)</f>
        <v>0</v>
      </c>
      <c r="D45" s="2825">
        <f t="shared" si="0"/>
        <v>0</v>
      </c>
      <c r="E45" s="2825"/>
      <c r="F45" s="200"/>
      <c r="G45" s="200"/>
      <c r="H45" s="200"/>
    </row>
    <row r="46" spans="1:8" ht="12.6" customHeight="1">
      <c r="A46" s="195">
        <v>30</v>
      </c>
      <c r="B46" s="196">
        <f>IF(A46&gt;C9,0,SUM(C302:C313)*($C$6/$C$7))</f>
        <v>0</v>
      </c>
      <c r="C46" s="215">
        <f>IF(A46&gt;C9,0,(E423+K423)*$C$8)</f>
        <v>0</v>
      </c>
      <c r="D46" s="2826">
        <f t="shared" si="0"/>
        <v>0</v>
      </c>
      <c r="E46" s="2826"/>
      <c r="F46" s="200"/>
      <c r="G46" s="200"/>
      <c r="H46" s="200"/>
    </row>
    <row r="47" spans="1:8" ht="12.6" customHeight="1">
      <c r="A47" s="199">
        <v>31</v>
      </c>
      <c r="B47" s="191">
        <f>IF(A47&gt;C9,0,SUM(C303:C314)*($C$6/$C$7))</f>
        <v>0</v>
      </c>
      <c r="C47" s="216">
        <f>IF(A47&gt;C9,0,(E435+K435)*$C$8)</f>
        <v>0</v>
      </c>
      <c r="D47" s="2828">
        <f t="shared" si="0"/>
        <v>0</v>
      </c>
      <c r="E47" s="2828"/>
      <c r="F47" s="200"/>
      <c r="G47" s="200"/>
      <c r="H47" s="200"/>
    </row>
    <row r="48" spans="1:8" ht="12.6" customHeight="1">
      <c r="A48" s="192">
        <v>32</v>
      </c>
      <c r="B48" s="193">
        <f>IF(A48&gt;C9,0,SUM(C304:C315)*($C$6/$C$7))</f>
        <v>0</v>
      </c>
      <c r="C48" s="194">
        <f>IF(A48&gt;C9,0,(E447+K447)*$C$8)</f>
        <v>0</v>
      </c>
      <c r="D48" s="2825">
        <f t="shared" si="0"/>
        <v>0</v>
      </c>
      <c r="E48" s="2825"/>
      <c r="F48" s="200"/>
      <c r="G48" s="200"/>
      <c r="H48" s="200"/>
    </row>
    <row r="49" spans="1:12" ht="12.6" customHeight="1">
      <c r="A49" s="192">
        <v>33</v>
      </c>
      <c r="B49" s="193">
        <f>IF(A49&gt;C9,0,SUM(C305:C316)*($C$6/$C$7))</f>
        <v>0</v>
      </c>
      <c r="C49" s="194">
        <f>IF(A49&gt;C9,0,(E459+K459)*$C$8)</f>
        <v>0</v>
      </c>
      <c r="D49" s="2825">
        <f t="shared" si="0"/>
        <v>0</v>
      </c>
      <c r="E49" s="2825"/>
      <c r="F49" s="200"/>
      <c r="G49" s="200"/>
      <c r="H49" s="200"/>
    </row>
    <row r="50" spans="1:12" ht="12.6" customHeight="1">
      <c r="A50" s="192">
        <v>34</v>
      </c>
      <c r="B50" s="193">
        <f>IF(A50&gt;C9,0,SUM(C306:C317)*($C$6/$C$7))</f>
        <v>0</v>
      </c>
      <c r="C50" s="194">
        <f>IF(A50&gt;C9,0,(E471+K471)*$C$8)</f>
        <v>0</v>
      </c>
      <c r="D50" s="2825">
        <f t="shared" si="0"/>
        <v>0</v>
      </c>
      <c r="E50" s="2825"/>
      <c r="F50" s="200"/>
      <c r="G50" s="200"/>
      <c r="H50" s="200"/>
    </row>
    <row r="51" spans="1:12" ht="12.6" customHeight="1">
      <c r="A51" s="195">
        <v>35</v>
      </c>
      <c r="B51" s="196">
        <f>IF(A51&gt;C9,0,SUM(C307:C318)*($C$6/$C$7))</f>
        <v>0</v>
      </c>
      <c r="C51" s="215">
        <f>IF(A51&gt;C9,0,(E483+K483)*$C$8)</f>
        <v>0</v>
      </c>
      <c r="D51" s="2826">
        <f t="shared" si="0"/>
        <v>0</v>
      </c>
      <c r="E51" s="2826"/>
      <c r="F51" s="200"/>
      <c r="G51" s="200"/>
      <c r="H51" s="200"/>
    </row>
    <row r="52" spans="1:12" ht="12.6" customHeight="1">
      <c r="A52" s="199">
        <v>36</v>
      </c>
      <c r="B52" s="191">
        <f>IF(A52&gt;C9,0,SUM(C308:C319)*($C$6/$C$7))</f>
        <v>0</v>
      </c>
      <c r="C52" s="216">
        <f>IF(A52&gt;C9,0,(E495+K495)*$C$8)</f>
        <v>0</v>
      </c>
      <c r="D52" s="2828">
        <f t="shared" si="0"/>
        <v>0</v>
      </c>
      <c r="E52" s="2828"/>
      <c r="F52" s="200"/>
      <c r="G52" s="200"/>
      <c r="H52" s="200"/>
    </row>
    <row r="53" spans="1:12" ht="12.6" customHeight="1">
      <c r="A53" s="192">
        <v>37</v>
      </c>
      <c r="B53" s="193">
        <f>IF(A53&gt;C9,0,SUM(C309:C320)*($C$6/$C$7))</f>
        <v>0</v>
      </c>
      <c r="C53" s="194">
        <f>IF(A53&gt;C9,0,(E507+K507)*$C$8)</f>
        <v>0</v>
      </c>
      <c r="D53" s="2825">
        <f t="shared" si="0"/>
        <v>0</v>
      </c>
      <c r="E53" s="2825"/>
      <c r="F53" s="200"/>
      <c r="G53" s="200"/>
      <c r="H53" s="200"/>
    </row>
    <row r="54" spans="1:12" ht="12.6" customHeight="1">
      <c r="A54" s="192">
        <v>38</v>
      </c>
      <c r="B54" s="193">
        <f>IF(A54&gt;C9,0,SUM(C310:C321)*($C$6/$C$7))</f>
        <v>0</v>
      </c>
      <c r="C54" s="194">
        <f>IF(A54&gt;C9,0,(E519+K519)*$C$8)</f>
        <v>0</v>
      </c>
      <c r="D54" s="2825">
        <f t="shared" si="0"/>
        <v>0</v>
      </c>
      <c r="E54" s="2825"/>
      <c r="F54" s="200"/>
      <c r="G54" s="200"/>
      <c r="H54" s="200"/>
    </row>
    <row r="55" spans="1:12" ht="12.6" customHeight="1">
      <c r="A55" s="192">
        <v>39</v>
      </c>
      <c r="B55" s="193">
        <f>IF(A55&gt;C9,0,SUM(C311:C322)*($C$6/$C$7))</f>
        <v>0</v>
      </c>
      <c r="C55" s="194">
        <f>IF(A55&gt;C9,0,(E531+K531)*$C$8)</f>
        <v>0</v>
      </c>
      <c r="D55" s="2825">
        <f t="shared" si="0"/>
        <v>0</v>
      </c>
      <c r="E55" s="2825"/>
      <c r="F55" s="200"/>
      <c r="G55" s="200"/>
      <c r="H55" s="200"/>
    </row>
    <row r="56" spans="1:12" ht="12.6" customHeight="1">
      <c r="A56" s="195">
        <v>40</v>
      </c>
      <c r="B56" s="196">
        <f>IF(A56&gt;C9,0,SUM(C312:C323)*($C$6/$C$7))</f>
        <v>0</v>
      </c>
      <c r="C56" s="215">
        <f>IF(A56&gt;C9,0,(E543+K543)*$C$8)</f>
        <v>0</v>
      </c>
      <c r="D56" s="2826">
        <f t="shared" si="0"/>
        <v>0</v>
      </c>
      <c r="E56" s="2826"/>
      <c r="F56" s="200"/>
      <c r="G56" s="200"/>
      <c r="H56" s="200"/>
    </row>
    <row r="57" spans="1:12" ht="3" customHeight="1">
      <c r="A57" s="200"/>
      <c r="B57" s="200"/>
      <c r="C57" s="200"/>
      <c r="D57" s="200"/>
      <c r="E57" s="200"/>
      <c r="F57" s="200"/>
      <c r="G57" s="200"/>
      <c r="H57" s="200"/>
    </row>
    <row r="58" spans="1:12" ht="13.15" customHeight="1">
      <c r="A58" s="2824" t="e">
        <f>CONCATENATE(#REF!," ",#REF!,", ",#REF!,", ",#REF!," County")</f>
        <v>#REF!</v>
      </c>
      <c r="B58" s="2824"/>
      <c r="C58" s="2824"/>
      <c r="D58" s="2824"/>
      <c r="E58" s="2824"/>
      <c r="F58" s="2824"/>
      <c r="G58" s="2824" t="e">
        <f>CONCATENATE(#REF!," ",#REF!,", ",#REF!,", ",#REF!," County")</f>
        <v>#REF!</v>
      </c>
      <c r="H58" s="2824"/>
      <c r="I58" s="2824"/>
      <c r="J58" s="2824"/>
      <c r="K58" s="2824"/>
      <c r="L58" s="2824"/>
    </row>
    <row r="59" spans="1:12" ht="15">
      <c r="A59" s="2821" t="s">
        <v>2487</v>
      </c>
      <c r="B59" s="2821"/>
      <c r="C59" s="2821"/>
      <c r="D59" s="2821"/>
      <c r="E59" s="2821"/>
      <c r="F59" s="2821"/>
      <c r="G59" s="2821" t="s">
        <v>2487</v>
      </c>
      <c r="H59" s="2821"/>
      <c r="I59" s="2821"/>
      <c r="J59" s="2821"/>
      <c r="K59" s="2821"/>
      <c r="L59" s="2821"/>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9" t="e">
        <f>CONCATENATE("PART III C  - HUD INSURED LOAN","  -  ",#REF!," ",#REF!,", ",#REF!,", ",#REF!," County")</f>
        <v>#REF!</v>
      </c>
      <c r="B1" s="2830"/>
      <c r="C1" s="2830"/>
      <c r="D1" s="2830"/>
      <c r="E1" s="2830"/>
      <c r="F1" s="2831"/>
      <c r="G1" s="168"/>
      <c r="H1" s="168"/>
      <c r="I1" s="168"/>
      <c r="J1" s="168"/>
      <c r="K1" s="168"/>
      <c r="L1" s="168"/>
      <c r="M1" s="168"/>
      <c r="N1" s="168"/>
      <c r="O1" s="168"/>
      <c r="P1" s="168"/>
      <c r="Q1" s="168"/>
    </row>
    <row r="2" spans="1:17">
      <c r="A2" s="14"/>
      <c r="B2" s="188"/>
      <c r="C2" s="188"/>
      <c r="D2" s="188"/>
    </row>
    <row r="3" spans="1:17" ht="15.6" customHeight="1">
      <c r="A3" s="2822" t="s">
        <v>220</v>
      </c>
      <c r="B3" s="2822"/>
      <c r="C3" s="2822"/>
      <c r="D3" s="2822"/>
      <c r="E3" s="2822"/>
      <c r="F3" s="2822"/>
      <c r="G3" s="233"/>
      <c r="H3" s="233"/>
    </row>
    <row r="4" spans="1:17">
      <c r="A4" s="14"/>
      <c r="B4" s="188"/>
      <c r="C4" s="188"/>
      <c r="D4" s="188"/>
    </row>
    <row r="5" spans="1:17" ht="13.15" customHeight="1">
      <c r="A5" s="28" t="s">
        <v>2271</v>
      </c>
      <c r="D5" s="228"/>
      <c r="E5" s="2833" t="s">
        <v>965</v>
      </c>
      <c r="F5" s="2834"/>
      <c r="G5" s="165"/>
    </row>
    <row r="6" spans="1:17">
      <c r="E6" s="2834"/>
      <c r="F6" s="2834"/>
      <c r="G6" s="165"/>
    </row>
    <row r="7" spans="1:17">
      <c r="A7" s="28" t="s">
        <v>2479</v>
      </c>
      <c r="C7" s="28" t="s">
        <v>2480</v>
      </c>
      <c r="D7" s="229"/>
      <c r="E7" s="2834"/>
      <c r="F7" s="2834"/>
      <c r="G7" s="165"/>
    </row>
    <row r="8" spans="1:17">
      <c r="C8" s="28" t="s">
        <v>2481</v>
      </c>
      <c r="D8" s="229"/>
      <c r="E8" s="2834"/>
      <c r="F8" s="2834"/>
      <c r="G8" s="165"/>
    </row>
    <row r="9" spans="1:17">
      <c r="C9" s="28" t="s">
        <v>2482</v>
      </c>
      <c r="D9" s="229"/>
      <c r="E9" s="2834"/>
      <c r="F9" s="2834"/>
      <c r="G9" s="165"/>
    </row>
    <row r="10" spans="1:17">
      <c r="C10" s="28" t="s">
        <v>2495</v>
      </c>
      <c r="D10" s="234">
        <f>D7+D8+D9</f>
        <v>0</v>
      </c>
      <c r="E10" s="2834"/>
      <c r="F10" s="2834"/>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3" t="s">
        <v>1730</v>
      </c>
      <c r="B24" s="2823"/>
      <c r="C24" s="2823"/>
      <c r="D24" s="2823"/>
      <c r="E24" s="2823"/>
      <c r="F24" s="2823"/>
      <c r="J24" s="237"/>
    </row>
    <row r="25" spans="1:10">
      <c r="C25" s="198"/>
      <c r="J25" s="237"/>
    </row>
    <row r="26" spans="1:10">
      <c r="A26" s="107"/>
      <c r="B26" s="83"/>
      <c r="C26" s="2835" t="s">
        <v>2270</v>
      </c>
      <c r="D26" s="232"/>
      <c r="E26" s="83"/>
      <c r="F26" s="2835" t="s">
        <v>2270</v>
      </c>
      <c r="J26" s="237"/>
    </row>
    <row r="27" spans="1:10">
      <c r="A27" s="238" t="s">
        <v>2496</v>
      </c>
      <c r="B27" s="74" t="s">
        <v>1036</v>
      </c>
      <c r="C27" s="2836"/>
      <c r="D27" s="239" t="s">
        <v>2496</v>
      </c>
      <c r="E27" s="74" t="s">
        <v>1036</v>
      </c>
      <c r="F27" s="2836"/>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4" t="e">
        <f>CONCATENATE(#REF!," ",#REF!,", ",#REF!,", ",#REF!," County")</f>
        <v>#REF!</v>
      </c>
      <c r="B50" s="2824"/>
      <c r="C50" s="2824"/>
      <c r="D50" s="2824"/>
      <c r="E50" s="2824"/>
      <c r="F50" s="2824"/>
      <c r="G50" s="223"/>
      <c r="H50" s="223"/>
    </row>
    <row r="51" spans="1:10" ht="15">
      <c r="A51" s="2821" t="s">
        <v>2487</v>
      </c>
      <c r="B51" s="2821"/>
      <c r="C51" s="2821"/>
      <c r="D51" s="2821"/>
      <c r="E51" s="2821"/>
      <c r="F51" s="2821"/>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4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37" t="str">
        <f>CONCATENATE("PART FOUR -  USES OF FUNDS","  -  ",'Part I-Project Information'!$O$6," ",'Part I-Project Information'!$F$34,", ",'Part I-Project Information'!F38,", ",'Part I-Project Information'!J39," County")</f>
        <v>PART FOUR -  USES OF FUNDS  -  2018-017 Heritage Village at West Lake, Atlanta, Fulton County</v>
      </c>
      <c r="B1" s="2838"/>
      <c r="C1" s="2838"/>
      <c r="D1" s="2838"/>
      <c r="E1" s="2838"/>
      <c r="F1" s="2838"/>
      <c r="G1" s="2838"/>
      <c r="H1" s="2838"/>
      <c r="I1" s="2838"/>
      <c r="J1" s="2838"/>
      <c r="K1" s="2838"/>
      <c r="L1" s="2838"/>
      <c r="M1" s="2838"/>
      <c r="N1" s="2838"/>
      <c r="O1" s="2838"/>
      <c r="P1" s="2838"/>
      <c r="Q1" s="2838"/>
      <c r="R1" s="2838"/>
      <c r="S1" s="2838"/>
      <c r="T1" s="2838"/>
      <c r="W1" s="2839" t="str">
        <f>A1</f>
        <v>PART FOUR -  USES OF FUNDS  -  2018-017 Heritage Village at West Lake, Atlanta, Fulton County</v>
      </c>
      <c r="X1" s="283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40" t="s">
        <v>273</v>
      </c>
      <c r="K5" s="2841"/>
      <c r="L5" s="360"/>
      <c r="M5" s="2844" t="s">
        <v>494</v>
      </c>
      <c r="N5" s="2845"/>
      <c r="P5" s="2840" t="s">
        <v>274</v>
      </c>
      <c r="Q5" s="2841"/>
      <c r="S5" s="2840" t="s">
        <v>275</v>
      </c>
      <c r="T5" s="2841"/>
      <c r="V5" s="438" t="str">
        <f>B5</f>
        <v>DEVELOPMENT BUDGET</v>
      </c>
    </row>
    <row r="6" spans="1:24" s="305" customFormat="1" ht="19.5" customHeight="1" thickBot="1">
      <c r="G6" s="2848" t="s">
        <v>102</v>
      </c>
      <c r="H6" s="2849"/>
      <c r="J6" s="2842"/>
      <c r="K6" s="2843"/>
      <c r="L6" s="360"/>
      <c r="M6" s="2846"/>
      <c r="N6" s="2847"/>
      <c r="P6" s="2842"/>
      <c r="Q6" s="2843"/>
      <c r="S6" s="2842"/>
      <c r="T6" s="2843"/>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43">
        <v>10000</v>
      </c>
      <c r="H8" s="2744"/>
      <c r="J8" s="2743"/>
      <c r="K8" s="2744"/>
      <c r="L8" s="1580"/>
      <c r="M8" s="2743"/>
      <c r="N8" s="2744"/>
      <c r="P8" s="2743">
        <v>10000</v>
      </c>
      <c r="Q8" s="2744"/>
      <c r="S8" s="2743"/>
      <c r="T8" s="2744"/>
      <c r="V8" s="2344"/>
      <c r="W8" s="2850"/>
      <c r="X8" s="2851"/>
    </row>
    <row r="9" spans="1:24" s="305" customFormat="1" ht="12.6" customHeight="1">
      <c r="B9" s="305" t="s">
        <v>461</v>
      </c>
      <c r="G9" s="2754">
        <v>10000</v>
      </c>
      <c r="H9" s="2755"/>
      <c r="J9" s="2754"/>
      <c r="K9" s="2755"/>
      <c r="L9" s="1580"/>
      <c r="M9" s="2754"/>
      <c r="N9" s="2755"/>
      <c r="P9" s="2754">
        <v>10000</v>
      </c>
      <c r="Q9" s="2755"/>
      <c r="S9" s="2754"/>
      <c r="T9" s="2755"/>
      <c r="V9" s="2344"/>
      <c r="W9" s="2850"/>
      <c r="X9" s="2851"/>
    </row>
    <row r="10" spans="1:24" s="305" customFormat="1" ht="12.6" customHeight="1">
      <c r="B10" s="305" t="s">
        <v>491</v>
      </c>
      <c r="G10" s="2754">
        <v>30000</v>
      </c>
      <c r="H10" s="2755"/>
      <c r="J10" s="2754"/>
      <c r="K10" s="2755"/>
      <c r="L10" s="1580"/>
      <c r="M10" s="2754"/>
      <c r="N10" s="2755"/>
      <c r="P10" s="2754">
        <v>30000</v>
      </c>
      <c r="Q10" s="2755"/>
      <c r="S10" s="2754"/>
      <c r="T10" s="2755"/>
      <c r="V10" s="2344"/>
      <c r="W10" s="2850"/>
      <c r="X10" s="2851"/>
    </row>
    <row r="11" spans="1:24" s="305" customFormat="1" ht="12.6" customHeight="1">
      <c r="B11" s="305" t="s">
        <v>492</v>
      </c>
      <c r="G11" s="2754">
        <v>15000</v>
      </c>
      <c r="H11" s="2755"/>
      <c r="J11" s="2754"/>
      <c r="K11" s="2755"/>
      <c r="L11" s="1580"/>
      <c r="M11" s="2754"/>
      <c r="N11" s="2755"/>
      <c r="P11" s="2754">
        <v>15000</v>
      </c>
      <c r="Q11" s="2755"/>
      <c r="S11" s="2754"/>
      <c r="T11" s="2755"/>
      <c r="V11" s="2344"/>
      <c r="W11" s="2850"/>
      <c r="X11" s="2851"/>
    </row>
    <row r="12" spans="1:24" s="305" customFormat="1" ht="12.6" customHeight="1">
      <c r="B12" s="305" t="s">
        <v>2516</v>
      </c>
      <c r="G12" s="2754">
        <v>35000</v>
      </c>
      <c r="H12" s="2755"/>
      <c r="J12" s="2754"/>
      <c r="K12" s="2755"/>
      <c r="L12" s="1580"/>
      <c r="M12" s="2754"/>
      <c r="N12" s="2755"/>
      <c r="P12" s="2754">
        <v>35000</v>
      </c>
      <c r="Q12" s="2755"/>
      <c r="S12" s="2754"/>
      <c r="T12" s="2755"/>
      <c r="V12" s="2344"/>
      <c r="W12" s="2850"/>
      <c r="X12" s="2851"/>
    </row>
    <row r="13" spans="1:24" s="305" customFormat="1" ht="12.6" customHeight="1">
      <c r="B13" s="305" t="s">
        <v>192</v>
      </c>
      <c r="G13" s="2754">
        <v>15000</v>
      </c>
      <c r="H13" s="2755"/>
      <c r="J13" s="2754"/>
      <c r="K13" s="2755"/>
      <c r="L13" s="1580"/>
      <c r="M13" s="2754"/>
      <c r="N13" s="2755"/>
      <c r="P13" s="2754">
        <v>15000</v>
      </c>
      <c r="Q13" s="2755"/>
      <c r="S13" s="2754"/>
      <c r="T13" s="2755"/>
      <c r="V13" s="2344"/>
      <c r="W13" s="2850"/>
      <c r="X13" s="2851"/>
    </row>
    <row r="14" spans="1:24" s="305" customFormat="1" ht="12.6" customHeight="1">
      <c r="A14" s="387" t="str">
        <f>IF(AND(G14&gt;0,OR(C14="",C14="&lt;Enter detailed description here; use Comments section if needed&gt;")),"X","")</f>
        <v/>
      </c>
      <c r="B14" s="305" t="s">
        <v>749</v>
      </c>
      <c r="C14" s="2852" t="s">
        <v>3738</v>
      </c>
      <c r="D14" s="2852"/>
      <c r="E14" s="2852"/>
      <c r="F14" s="2853"/>
      <c r="G14" s="2754"/>
      <c r="H14" s="2755"/>
      <c r="J14" s="2754"/>
      <c r="K14" s="2755"/>
      <c r="L14" s="1580"/>
      <c r="M14" s="2754"/>
      <c r="N14" s="2755"/>
      <c r="P14" s="2754"/>
      <c r="Q14" s="2755"/>
      <c r="S14" s="2754"/>
      <c r="T14" s="2755"/>
      <c r="U14" s="386" t="str">
        <f>IF(AND(G14&gt;0,OR(C14="",C14="&lt;Enter detailed description here; use Comments section if needed&gt;")),"NO DESCRIPTION PROVIDED - please enter detailed description in Other box at left; use Comments section below if needed.","")</f>
        <v/>
      </c>
      <c r="V14" s="2345"/>
      <c r="W14" s="2850"/>
      <c r="X14" s="2851"/>
    </row>
    <row r="15" spans="1:24" s="305" customFormat="1" ht="12.6" customHeight="1">
      <c r="A15" s="387" t="str">
        <f>IF(AND(G15&gt;0,OR(C15="",C15="&lt;Enter detailed description here; use Comments section if needed&gt;")),"X","")</f>
        <v/>
      </c>
      <c r="B15" s="305" t="s">
        <v>749</v>
      </c>
      <c r="C15" s="2852" t="s">
        <v>3738</v>
      </c>
      <c r="D15" s="2852"/>
      <c r="E15" s="2852"/>
      <c r="F15" s="2853"/>
      <c r="G15" s="2754"/>
      <c r="H15" s="2755"/>
      <c r="J15" s="2754"/>
      <c r="K15" s="2755"/>
      <c r="L15" s="1580"/>
      <c r="M15" s="2754"/>
      <c r="N15" s="2755"/>
      <c r="P15" s="2754"/>
      <c r="Q15" s="2755"/>
      <c r="S15" s="2754"/>
      <c r="T15" s="2755"/>
      <c r="U15" s="386" t="str">
        <f>IF(AND(G15&gt;0,OR(C15="",C15="&lt;Enter detailed description here; use Comments section if needed&gt;")),"NO DESCRIPTION PROVIDED - please enter detailed description in Other box at left; use Comments section below if needed.","")</f>
        <v/>
      </c>
      <c r="V15" s="2345"/>
      <c r="W15" s="2850"/>
      <c r="X15" s="2851"/>
    </row>
    <row r="16" spans="1:24" s="305" customFormat="1" ht="12.6" customHeight="1" thickBot="1">
      <c r="A16" s="387" t="str">
        <f>IF(AND(G16&gt;0,OR(C16="",C16="&lt;Enter detailed description here; use Comments section if needed&gt;")),"X","")</f>
        <v/>
      </c>
      <c r="B16" s="305" t="s">
        <v>749</v>
      </c>
      <c r="C16" s="2852" t="s">
        <v>3738</v>
      </c>
      <c r="D16" s="2852"/>
      <c r="E16" s="2852"/>
      <c r="F16" s="2853"/>
      <c r="G16" s="2857"/>
      <c r="H16" s="2858"/>
      <c r="J16" s="2857"/>
      <c r="K16" s="2858"/>
      <c r="L16" s="1580"/>
      <c r="M16" s="2857"/>
      <c r="N16" s="2858"/>
      <c r="P16" s="2857"/>
      <c r="Q16" s="2858"/>
      <c r="S16" s="2857"/>
      <c r="T16" s="2858"/>
      <c r="U16" s="386" t="str">
        <f>IF(AND(G16&gt;0,OR(C16="",C16="&lt;Enter detailed description here; use Comments section if needed&gt;")),"NO DESCRIPTION PROVIDED - please enter detailed description in Other box at left; use Comments section below if needed.","")</f>
        <v/>
      </c>
      <c r="V16" s="2345"/>
      <c r="W16" s="2889"/>
      <c r="X16" s="2890"/>
    </row>
    <row r="17" spans="2:24" s="305" customFormat="1" ht="12.6" customHeight="1" thickTop="1">
      <c r="F17" s="361" t="s">
        <v>193</v>
      </c>
      <c r="G17" s="2854">
        <f>SUM(G8:H16)</f>
        <v>115000</v>
      </c>
      <c r="H17" s="2855"/>
      <c r="J17" s="2854">
        <f>SUM(J8:K16)</f>
        <v>0</v>
      </c>
      <c r="K17" s="2856"/>
      <c r="L17" s="1580"/>
      <c r="M17" s="2854">
        <f>SUM(M8:N16)</f>
        <v>0</v>
      </c>
      <c r="N17" s="2855"/>
      <c r="P17" s="2854">
        <f>SUM(P8:Q16)</f>
        <v>115000</v>
      </c>
      <c r="Q17" s="2855"/>
      <c r="S17" s="2854">
        <f>SUM(S8:T16)</f>
        <v>0</v>
      </c>
      <c r="T17" s="2855"/>
      <c r="V17" s="2346">
        <f>SUM(V8:V16)</f>
        <v>0</v>
      </c>
      <c r="W17" s="2900"/>
      <c r="X17" s="2901"/>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743">
        <v>325000</v>
      </c>
      <c r="H19" s="2744"/>
      <c r="J19" s="363"/>
      <c r="K19" s="360"/>
      <c r="L19" s="363"/>
      <c r="M19" s="363"/>
      <c r="N19" s="360"/>
      <c r="P19" s="363"/>
      <c r="Q19" s="360"/>
      <c r="S19" s="2743">
        <v>325000</v>
      </c>
      <c r="T19" s="2744"/>
      <c r="V19" s="2344"/>
      <c r="W19" s="2850"/>
      <c r="X19" s="2851"/>
    </row>
    <row r="20" spans="2:24" s="305" customFormat="1" ht="12.6" customHeight="1">
      <c r="B20" s="305" t="s">
        <v>1129</v>
      </c>
      <c r="G20" s="2754"/>
      <c r="H20" s="2755"/>
      <c r="J20" s="363"/>
      <c r="K20" s="360"/>
      <c r="L20" s="363"/>
      <c r="M20" s="363"/>
      <c r="N20" s="360"/>
      <c r="P20" s="363"/>
      <c r="Q20" s="360"/>
      <c r="S20" s="2754"/>
      <c r="T20" s="2755"/>
      <c r="V20" s="2344"/>
      <c r="W20" s="2850"/>
      <c r="X20" s="2851"/>
    </row>
    <row r="21" spans="2:24" s="305" customFormat="1" ht="12.6" customHeight="1">
      <c r="B21" s="305" t="s">
        <v>462</v>
      </c>
      <c r="G21" s="2754"/>
      <c r="H21" s="2755"/>
      <c r="J21" s="363"/>
      <c r="K21" s="360"/>
      <c r="L21" s="363"/>
      <c r="M21" s="2743"/>
      <c r="N21" s="2744"/>
      <c r="P21" s="363"/>
      <c r="Q21" s="360"/>
      <c r="S21" s="2754"/>
      <c r="T21" s="2755"/>
      <c r="V21" s="2344"/>
      <c r="W21" s="2850"/>
      <c r="X21" s="2851"/>
    </row>
    <row r="22" spans="2:24" s="305" customFormat="1" ht="12.6" customHeight="1" thickBot="1">
      <c r="B22" s="305" t="s">
        <v>432</v>
      </c>
      <c r="G22" s="2857">
        <v>2750000</v>
      </c>
      <c r="H22" s="2858"/>
      <c r="J22" s="363"/>
      <c r="K22" s="360"/>
      <c r="L22" s="363"/>
      <c r="M22" s="2857"/>
      <c r="N22" s="2858"/>
      <c r="P22" s="363"/>
      <c r="Q22" s="360"/>
      <c r="S22" s="2857">
        <v>2750000</v>
      </c>
      <c r="T22" s="2858"/>
      <c r="V22" s="2344"/>
      <c r="W22" s="2889"/>
      <c r="X22" s="2890"/>
    </row>
    <row r="23" spans="2:24" s="305" customFormat="1" ht="12.6" customHeight="1" thickTop="1">
      <c r="F23" s="361" t="s">
        <v>193</v>
      </c>
      <c r="G23" s="2854">
        <f>SUM(G19:H22)</f>
        <v>3075000</v>
      </c>
      <c r="H23" s="2855"/>
      <c r="J23" s="363"/>
      <c r="K23" s="360"/>
      <c r="L23" s="363"/>
      <c r="M23" s="2854">
        <f>SUM(M21:N22)</f>
        <v>0</v>
      </c>
      <c r="N23" s="2855"/>
      <c r="P23" s="363"/>
      <c r="Q23" s="360"/>
      <c r="S23" s="2854">
        <f>SUM(S19:T22)</f>
        <v>3075000</v>
      </c>
      <c r="T23" s="2855"/>
      <c r="V23" s="2346">
        <f>SUM(V19:V22)</f>
        <v>0</v>
      </c>
      <c r="W23" s="2900"/>
      <c r="X23" s="2901"/>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203674.83660130718</v>
      </c>
      <c r="G25" s="2743">
        <v>623245</v>
      </c>
      <c r="H25" s="2744"/>
      <c r="J25" s="2743"/>
      <c r="K25" s="2744"/>
      <c r="L25" s="1580"/>
      <c r="M25" s="2859"/>
      <c r="N25" s="2860"/>
      <c r="P25" s="2859">
        <f>G25-S25</f>
        <v>423245</v>
      </c>
      <c r="Q25" s="2860"/>
      <c r="S25" s="2743">
        <v>200000</v>
      </c>
      <c r="T25" s="2744"/>
      <c r="V25" s="2344"/>
      <c r="W25" s="2850"/>
      <c r="X25" s="2851"/>
    </row>
    <row r="26" spans="2:24" s="305" customFormat="1" ht="12.6" customHeight="1" thickBot="1">
      <c r="B26" s="305" t="s">
        <v>1132</v>
      </c>
      <c r="G26" s="2857"/>
      <c r="H26" s="2858"/>
      <c r="J26" s="2857"/>
      <c r="K26" s="2858"/>
      <c r="L26" s="364"/>
      <c r="M26" s="2861"/>
      <c r="N26" s="2861"/>
      <c r="P26" s="2861"/>
      <c r="Q26" s="2861"/>
      <c r="S26" s="2857"/>
      <c r="T26" s="2858"/>
      <c r="V26" s="2344"/>
      <c r="W26" s="2889"/>
      <c r="X26" s="2890"/>
    </row>
    <row r="27" spans="2:24" s="305" customFormat="1" ht="12.6" customHeight="1" thickTop="1">
      <c r="F27" s="361" t="s">
        <v>193</v>
      </c>
      <c r="G27" s="2854">
        <f>SUM(G25:H26)</f>
        <v>623245</v>
      </c>
      <c r="H27" s="2855"/>
      <c r="J27" s="2854">
        <f>SUM(J25:K26)</f>
        <v>0</v>
      </c>
      <c r="K27" s="2855"/>
      <c r="L27" s="363"/>
      <c r="M27" s="2854">
        <f>M25</f>
        <v>0</v>
      </c>
      <c r="N27" s="2855"/>
      <c r="P27" s="2854">
        <f>P25</f>
        <v>423245</v>
      </c>
      <c r="Q27" s="2855"/>
      <c r="S27" s="2854">
        <f>SUM(S25:T26)</f>
        <v>200000</v>
      </c>
      <c r="T27" s="2855"/>
      <c r="V27" s="2346">
        <f>SUM(V25:V26)</f>
        <v>0</v>
      </c>
      <c r="W27" s="2900"/>
      <c r="X27" s="2901"/>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43">
        <f>6420529+50057+300000-364258+21</f>
        <v>6406349</v>
      </c>
      <c r="H29" s="2744"/>
      <c r="J29" s="2743"/>
      <c r="K29" s="2744"/>
      <c r="L29" s="1580"/>
      <c r="M29" s="2743"/>
      <c r="N29" s="2744"/>
      <c r="P29" s="2743">
        <f>G29</f>
        <v>6406349</v>
      </c>
      <c r="Q29" s="2744"/>
      <c r="S29" s="2743"/>
      <c r="T29" s="2744"/>
      <c r="V29" s="2344"/>
      <c r="W29" s="2850"/>
      <c r="X29" s="2851"/>
    </row>
    <row r="30" spans="2:24" s="305" customFormat="1" ht="12.6" customHeight="1">
      <c r="B30" s="305" t="s">
        <v>1135</v>
      </c>
      <c r="G30" s="2754"/>
      <c r="H30" s="2755"/>
      <c r="J30" s="2754"/>
      <c r="K30" s="2755"/>
      <c r="L30" s="1580"/>
      <c r="M30" s="2754"/>
      <c r="N30" s="2755"/>
      <c r="P30" s="2754"/>
      <c r="Q30" s="2755"/>
      <c r="S30" s="2754"/>
      <c r="T30" s="2755"/>
      <c r="V30" s="2344"/>
      <c r="W30" s="2850"/>
      <c r="X30" s="2851"/>
    </row>
    <row r="31" spans="2:24" s="305" customFormat="1" ht="12.6" customHeight="1">
      <c r="B31" s="305" t="s">
        <v>2798</v>
      </c>
      <c r="G31" s="2754"/>
      <c r="H31" s="2755"/>
      <c r="J31" s="2754"/>
      <c r="K31" s="2755"/>
      <c r="L31" s="1580"/>
      <c r="M31" s="2754"/>
      <c r="N31" s="2755"/>
      <c r="P31" s="2754"/>
      <c r="Q31" s="2755"/>
      <c r="S31" s="2754"/>
      <c r="T31" s="2755"/>
      <c r="V31" s="2344"/>
      <c r="W31" s="2850"/>
      <c r="X31" s="2851"/>
    </row>
    <row r="32" spans="2:24" ht="12.6" customHeight="1" thickBot="1">
      <c r="B32" s="305" t="s">
        <v>2797</v>
      </c>
      <c r="G32" s="2857"/>
      <c r="H32" s="2858"/>
      <c r="I32" s="305"/>
      <c r="J32" s="2857"/>
      <c r="K32" s="2858"/>
      <c r="L32" s="1580"/>
      <c r="M32" s="2857"/>
      <c r="N32" s="2858"/>
      <c r="O32" s="305"/>
      <c r="P32" s="2857"/>
      <c r="Q32" s="2858"/>
      <c r="R32" s="305"/>
      <c r="S32" s="2857"/>
      <c r="T32" s="2858"/>
      <c r="V32" s="2344"/>
      <c r="W32" s="2889"/>
      <c r="X32" s="2890"/>
    </row>
    <row r="33" spans="1:24" s="305" customFormat="1" ht="12.6" customHeight="1" thickTop="1">
      <c r="C33" s="2863"/>
      <c r="D33" s="2863"/>
      <c r="E33" s="1576"/>
      <c r="F33" s="361" t="s">
        <v>193</v>
      </c>
      <c r="G33" s="2854">
        <f>SUM(G29:H32)</f>
        <v>6406349</v>
      </c>
      <c r="H33" s="2855"/>
      <c r="J33" s="2854">
        <f>SUM(J29:K32)</f>
        <v>0</v>
      </c>
      <c r="K33" s="2855"/>
      <c r="L33" s="1580"/>
      <c r="M33" s="2854">
        <f>SUM(M29:N32)</f>
        <v>0</v>
      </c>
      <c r="N33" s="2855"/>
      <c r="P33" s="2854">
        <f>SUM(P29:Q32)</f>
        <v>6406349</v>
      </c>
      <c r="Q33" s="2855"/>
      <c r="S33" s="2854">
        <f>SUM(S29:T32)</f>
        <v>0</v>
      </c>
      <c r="T33" s="2855"/>
      <c r="V33" s="2346">
        <f>SUM(V29:V32)</f>
        <v>0</v>
      </c>
      <c r="W33" s="2900"/>
      <c r="X33" s="2901"/>
    </row>
    <row r="34" spans="1:24" s="305" customFormat="1" ht="12" customHeight="1">
      <c r="B34" s="307" t="s">
        <v>2359</v>
      </c>
      <c r="D34" s="2862" t="s">
        <v>3758</v>
      </c>
      <c r="E34" s="2862"/>
      <c r="F34" s="1044">
        <f>SUM(F35:F37)</f>
        <v>0.13941061176506067</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421775.63999999996</v>
      </c>
      <c r="F35" s="1045">
        <f>IF(($G$27+$G$33)=0,0,G35/($G$27+$G$33))</f>
        <v>5.9747405042168862E-2</v>
      </c>
      <c r="G35" s="2743">
        <v>420000</v>
      </c>
      <c r="H35" s="2744"/>
      <c r="I35" s="324"/>
      <c r="J35" s="2743"/>
      <c r="K35" s="2744"/>
      <c r="L35" s="1580"/>
      <c r="M35" s="2743"/>
      <c r="N35" s="2744"/>
      <c r="P35" s="2743">
        <v>420000</v>
      </c>
      <c r="Q35" s="2744"/>
      <c r="S35" s="2743"/>
      <c r="T35" s="2744"/>
      <c r="V35" s="2344"/>
      <c r="W35" s="2850"/>
      <c r="X35" s="2851"/>
    </row>
    <row r="36" spans="1:24" s="305" customFormat="1" ht="12.6" customHeight="1">
      <c r="B36" s="305" t="s">
        <v>2754</v>
      </c>
      <c r="D36" s="1047">
        <f>'DCA Underwriting Assumptions'!$R$75</f>
        <v>0.02</v>
      </c>
      <c r="E36" s="1048">
        <f>D36*(G27+G33)</f>
        <v>140591.88</v>
      </c>
      <c r="F36" s="1045">
        <f>IF(($G$27+$G$33)=0,0,G36/($G$27+$G$33))</f>
        <v>1.9915801680722954E-2</v>
      </c>
      <c r="G36" s="2754">
        <v>140000</v>
      </c>
      <c r="H36" s="2755"/>
      <c r="I36" s="324"/>
      <c r="J36" s="2743"/>
      <c r="K36" s="2744"/>
      <c r="L36" s="1580"/>
      <c r="M36" s="2754"/>
      <c r="N36" s="2755"/>
      <c r="P36" s="2754">
        <v>140000</v>
      </c>
      <c r="Q36" s="2755"/>
      <c r="S36" s="2754"/>
      <c r="T36" s="2755"/>
      <c r="V36" s="2344"/>
      <c r="W36" s="2850"/>
      <c r="X36" s="2851"/>
    </row>
    <row r="37" spans="1:24" s="305" customFormat="1" ht="12.6" customHeight="1" thickBot="1">
      <c r="B37" s="305" t="s">
        <v>2755</v>
      </c>
      <c r="D37" s="1051">
        <f>'DCA Underwriting Assumptions'!$R$76</f>
        <v>0.06</v>
      </c>
      <c r="E37" s="1052">
        <f>D37*(G27+G33)</f>
        <v>421775.63999999996</v>
      </c>
      <c r="F37" s="1367">
        <f>IF(($G$27+$G$33)=0,0,G37/($G$27+$G$33))</f>
        <v>5.9747405042168862E-2</v>
      </c>
      <c r="G37" s="2857">
        <v>420000</v>
      </c>
      <c r="H37" s="2858"/>
      <c r="I37" s="324"/>
      <c r="J37" s="2743"/>
      <c r="K37" s="2744"/>
      <c r="L37" s="1580"/>
      <c r="M37" s="2857"/>
      <c r="N37" s="2858"/>
      <c r="P37" s="2857">
        <v>420000</v>
      </c>
      <c r="Q37" s="2858"/>
      <c r="S37" s="2857"/>
      <c r="T37" s="2858"/>
      <c r="V37" s="2344"/>
      <c r="W37" s="2889"/>
      <c r="X37" s="2890"/>
    </row>
    <row r="38" spans="1:24" s="305" customFormat="1" ht="12.6" customHeight="1" thickTop="1">
      <c r="B38" s="179" t="s">
        <v>3759</v>
      </c>
      <c r="D38" s="1049">
        <f>SUM(D35:D37)</f>
        <v>0.14000000000000001</v>
      </c>
      <c r="E38" s="1050">
        <f>SUM(E35:E37)</f>
        <v>984143.15999999992</v>
      </c>
      <c r="F38" s="1031" t="s">
        <v>193</v>
      </c>
      <c r="G38" s="2854">
        <f>SUM(G35:H37)</f>
        <v>980000</v>
      </c>
      <c r="H38" s="2855"/>
      <c r="J38" s="2854">
        <f>SUM(J35:K37)</f>
        <v>0</v>
      </c>
      <c r="K38" s="2855"/>
      <c r="L38" s="363"/>
      <c r="M38" s="2854">
        <f>SUM(M35:N37)</f>
        <v>0</v>
      </c>
      <c r="N38" s="2855"/>
      <c r="P38" s="2854">
        <f>SUM(P35:Q37)</f>
        <v>980000</v>
      </c>
      <c r="Q38" s="2855"/>
      <c r="S38" s="2854">
        <f>SUM(S35:T37)</f>
        <v>0</v>
      </c>
      <c r="T38" s="2855"/>
      <c r="V38" s="2346">
        <f>SUM(V35:V37)</f>
        <v>0</v>
      </c>
      <c r="W38" s="2900"/>
      <c r="X38" s="2901"/>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52" t="s">
        <v>3738</v>
      </c>
      <c r="D41" s="2882"/>
      <c r="E41" s="2882"/>
      <c r="F41" s="2883"/>
      <c r="G41" s="2864"/>
      <c r="H41" s="2865"/>
      <c r="I41" s="305"/>
      <c r="J41" s="2864"/>
      <c r="K41" s="2865"/>
      <c r="L41" s="1580"/>
      <c r="M41" s="2864"/>
      <c r="N41" s="2865"/>
      <c r="O41" s="305"/>
      <c r="P41" s="2864"/>
      <c r="Q41" s="2865"/>
      <c r="R41" s="305"/>
      <c r="S41" s="2864"/>
      <c r="T41" s="2865"/>
      <c r="V41" s="2344"/>
      <c r="W41" s="2870"/>
      <c r="X41" s="2871"/>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72"/>
      <c r="X42" s="2873"/>
    </row>
    <row r="43" spans="1:24" s="305" customFormat="1" ht="12.6" customHeight="1">
      <c r="B43" s="529" t="s">
        <v>2763</v>
      </c>
      <c r="C43" s="530"/>
      <c r="E43" s="2876" t="s">
        <v>2762</v>
      </c>
      <c r="F43" s="1578">
        <f>B44/'Part VI-Revenues &amp; Expenses'!$O$60</f>
        <v>65118.650406504064</v>
      </c>
      <c r="G43" s="1579" t="s">
        <v>2789</v>
      </c>
      <c r="H43" s="1574"/>
      <c r="I43" s="1574"/>
      <c r="J43" s="2878">
        <f>B44/'Part VI-Revenues &amp; Expenses'!$O$62</f>
        <v>65118.650406504064</v>
      </c>
      <c r="K43" s="2878"/>
      <c r="L43" s="1574"/>
      <c r="M43" s="2879" t="s">
        <v>1414</v>
      </c>
      <c r="N43" s="2879"/>
      <c r="O43" s="1574"/>
      <c r="P43" s="2878">
        <f>B44/'Part I-Project Information'!$P$71</f>
        <v>96.980191306453563</v>
      </c>
      <c r="Q43" s="2878"/>
      <c r="R43" s="1574"/>
      <c r="S43" s="2880" t="s">
        <v>2796</v>
      </c>
      <c r="T43" s="2881"/>
      <c r="V43" s="1176"/>
      <c r="W43" s="2872"/>
      <c r="X43" s="2873"/>
    </row>
    <row r="44" spans="1:24" s="305" customFormat="1" ht="12.6" customHeight="1">
      <c r="B44" s="2866">
        <f>G27+G33+G38+G41</f>
        <v>8009594</v>
      </c>
      <c r="C44" s="2867"/>
      <c r="E44" s="2877"/>
      <c r="F44" s="1577">
        <f>B44/'Part VI-Revenues &amp; Expenses'!$O$117</f>
        <v>109.60035577449371</v>
      </c>
      <c r="G44" s="528" t="s">
        <v>2790</v>
      </c>
      <c r="H44" s="1567"/>
      <c r="I44" s="1567"/>
      <c r="J44" s="2868">
        <f>B44/'Part VI-Revenues &amp; Expenses'!$O$119</f>
        <v>109.60035577449371</v>
      </c>
      <c r="K44" s="2868"/>
      <c r="L44" s="1567"/>
      <c r="M44" s="2869" t="s">
        <v>2795</v>
      </c>
      <c r="N44" s="2869"/>
      <c r="O44" s="1567"/>
      <c r="P44" s="1567"/>
      <c r="Q44" s="1567"/>
      <c r="R44" s="1567"/>
      <c r="S44" s="1567"/>
      <c r="T44" s="353"/>
      <c r="V44" s="1176"/>
      <c r="W44" s="2874"/>
      <c r="X44" s="2875"/>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800959.4</v>
      </c>
      <c r="F47" s="365">
        <f>G47/B44</f>
        <v>6.8268129445762174E-2</v>
      </c>
      <c r="G47" s="2864">
        <v>546800</v>
      </c>
      <c r="H47" s="2865"/>
      <c r="I47" s="305"/>
      <c r="J47" s="2864"/>
      <c r="K47" s="2865"/>
      <c r="L47" s="1580"/>
      <c r="M47" s="2864"/>
      <c r="N47" s="2865"/>
      <c r="O47" s="305"/>
      <c r="P47" s="2864">
        <v>546800</v>
      </c>
      <c r="Q47" s="2865"/>
      <c r="R47" s="305"/>
      <c r="S47" s="2864"/>
      <c r="T47" s="2865"/>
      <c r="V47" s="2344"/>
      <c r="W47" s="2850"/>
      <c r="X47" s="2851"/>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2840" t="s">
        <v>273</v>
      </c>
      <c r="K49" s="2841"/>
      <c r="L49" s="360"/>
      <c r="M49" s="2844" t="s">
        <v>494</v>
      </c>
      <c r="N49" s="2845"/>
      <c r="P49" s="2840" t="s">
        <v>274</v>
      </c>
      <c r="Q49" s="2841"/>
      <c r="S49" s="2840" t="s">
        <v>275</v>
      </c>
      <c r="T49" s="2841"/>
      <c r="V49" s="1176"/>
      <c r="W49" s="438" t="str">
        <f>B49</f>
        <v>DEVELOPMENT BUDGET (cont'd)</v>
      </c>
    </row>
    <row r="50" spans="1:24" s="305" customFormat="1" ht="18.75" customHeight="1" thickBot="1">
      <c r="G50" s="2848" t="s">
        <v>102</v>
      </c>
      <c r="H50" s="2849"/>
      <c r="J50" s="2842"/>
      <c r="K50" s="2843"/>
      <c r="L50" s="360"/>
      <c r="M50" s="2846"/>
      <c r="N50" s="2847"/>
      <c r="P50" s="2842"/>
      <c r="Q50" s="2843"/>
      <c r="S50" s="2842"/>
      <c r="T50" s="2843"/>
      <c r="V50" s="1176"/>
      <c r="W50" s="2962" t="s">
        <v>2700</v>
      </c>
      <c r="X50" s="2962"/>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2743"/>
      <c r="H52" s="2744"/>
      <c r="J52" s="2743"/>
      <c r="K52" s="2744"/>
      <c r="L52" s="1580"/>
      <c r="M52" s="2743"/>
      <c r="N52" s="2744"/>
      <c r="P52" s="2743"/>
      <c r="Q52" s="2744"/>
      <c r="S52" s="2743"/>
      <c r="T52" s="2744"/>
      <c r="V52" s="2347"/>
      <c r="W52" s="2850"/>
      <c r="X52" s="2851"/>
    </row>
    <row r="53" spans="1:24" s="305" customFormat="1" ht="12" customHeight="1">
      <c r="B53" s="305" t="s">
        <v>3761</v>
      </c>
      <c r="G53" s="2754"/>
      <c r="H53" s="2755"/>
      <c r="J53" s="2754"/>
      <c r="K53" s="2755"/>
      <c r="L53" s="1580"/>
      <c r="M53" s="2754"/>
      <c r="N53" s="2755"/>
      <c r="P53" s="2754"/>
      <c r="Q53" s="2755"/>
      <c r="S53" s="2754"/>
      <c r="T53" s="2755"/>
      <c r="V53" s="2347"/>
      <c r="W53" s="2850"/>
      <c r="X53" s="2851"/>
    </row>
    <row r="54" spans="1:24" s="305" customFormat="1" ht="12" customHeight="1">
      <c r="B54" s="305" t="s">
        <v>2362</v>
      </c>
      <c r="G54" s="2754"/>
      <c r="H54" s="2755"/>
      <c r="J54" s="2754"/>
      <c r="K54" s="2755"/>
      <c r="L54" s="1580"/>
      <c r="M54" s="2754"/>
      <c r="N54" s="2755"/>
      <c r="P54" s="2754"/>
      <c r="Q54" s="2755"/>
      <c r="S54" s="2754"/>
      <c r="T54" s="2755"/>
      <c r="V54" s="2347"/>
      <c r="W54" s="2850"/>
      <c r="X54" s="2851"/>
    </row>
    <row r="55" spans="1:24" s="305" customFormat="1" ht="12" customHeight="1">
      <c r="B55" s="305" t="s">
        <v>2363</v>
      </c>
      <c r="G55" s="2754"/>
      <c r="H55" s="2755"/>
      <c r="J55" s="2754"/>
      <c r="K55" s="2755"/>
      <c r="L55" s="1580"/>
      <c r="M55" s="2754"/>
      <c r="N55" s="2755"/>
      <c r="P55" s="2754"/>
      <c r="Q55" s="2755"/>
      <c r="S55" s="2754"/>
      <c r="T55" s="2755"/>
      <c r="V55" s="2347"/>
      <c r="W55" s="2850"/>
      <c r="X55" s="2851"/>
    </row>
    <row r="56" spans="1:24" s="305" customFormat="1" ht="12" customHeight="1">
      <c r="B56" s="305" t="s">
        <v>2364</v>
      </c>
      <c r="G56" s="2754">
        <v>50000</v>
      </c>
      <c r="H56" s="2755"/>
      <c r="J56" s="2754"/>
      <c r="K56" s="2755"/>
      <c r="L56" s="1580"/>
      <c r="M56" s="2754"/>
      <c r="N56" s="2755"/>
      <c r="P56" s="2754">
        <v>40000</v>
      </c>
      <c r="Q56" s="2755"/>
      <c r="S56" s="2754">
        <v>10000</v>
      </c>
      <c r="T56" s="2755"/>
      <c r="V56" s="2347"/>
      <c r="W56" s="2850"/>
      <c r="X56" s="2851"/>
    </row>
    <row r="57" spans="1:24" s="305" customFormat="1" ht="12" customHeight="1">
      <c r="B57" s="305" t="s">
        <v>2704</v>
      </c>
      <c r="G57" s="2754">
        <v>30000</v>
      </c>
      <c r="H57" s="2755"/>
      <c r="J57" s="2754"/>
      <c r="K57" s="2755"/>
      <c r="L57" s="1580"/>
      <c r="M57" s="2754"/>
      <c r="N57" s="2755"/>
      <c r="P57" s="2754">
        <v>30000</v>
      </c>
      <c r="Q57" s="2755"/>
      <c r="S57" s="2754"/>
      <c r="T57" s="2755"/>
      <c r="V57" s="2347"/>
      <c r="W57" s="2850"/>
      <c r="X57" s="2851"/>
    </row>
    <row r="58" spans="1:24" s="305" customFormat="1" ht="12" customHeight="1">
      <c r="B58" s="305" t="s">
        <v>731</v>
      </c>
      <c r="G58" s="2754">
        <v>45000</v>
      </c>
      <c r="H58" s="2755"/>
      <c r="J58" s="2754"/>
      <c r="K58" s="2755"/>
      <c r="L58" s="1580"/>
      <c r="M58" s="2754"/>
      <c r="N58" s="2755"/>
      <c r="P58" s="2754">
        <v>45000</v>
      </c>
      <c r="Q58" s="2755"/>
      <c r="S58" s="2754"/>
      <c r="T58" s="2755"/>
      <c r="V58" s="2347"/>
      <c r="W58" s="2850"/>
      <c r="X58" s="2851"/>
    </row>
    <row r="59" spans="1:24" s="305" customFormat="1" ht="12" customHeight="1">
      <c r="B59" s="305" t="s">
        <v>2365</v>
      </c>
      <c r="G59" s="2754">
        <v>45000</v>
      </c>
      <c r="H59" s="2755"/>
      <c r="J59" s="2754"/>
      <c r="K59" s="2755"/>
      <c r="L59" s="1580"/>
      <c r="M59" s="2754"/>
      <c r="N59" s="2755"/>
      <c r="P59" s="2754">
        <v>45000</v>
      </c>
      <c r="Q59" s="2755"/>
      <c r="S59" s="2754"/>
      <c r="T59" s="2755"/>
      <c r="V59" s="2347"/>
      <c r="W59" s="2850"/>
      <c r="X59" s="2851"/>
    </row>
    <row r="60" spans="1:24" s="305" customFormat="1" ht="12" customHeight="1">
      <c r="B60" s="305" t="s">
        <v>1288</v>
      </c>
      <c r="G60" s="2754">
        <f>32434-44</f>
        <v>32390</v>
      </c>
      <c r="H60" s="2755"/>
      <c r="J60" s="2754"/>
      <c r="K60" s="2755"/>
      <c r="L60" s="1580"/>
      <c r="M60" s="2754"/>
      <c r="N60" s="2755"/>
      <c r="P60" s="2754">
        <v>20000</v>
      </c>
      <c r="Q60" s="2755"/>
      <c r="S60" s="2754">
        <v>12390</v>
      </c>
      <c r="T60" s="2755"/>
      <c r="V60" s="2347"/>
      <c r="W60" s="2850"/>
      <c r="X60" s="2851"/>
    </row>
    <row r="61" spans="1:24" s="305" customFormat="1" ht="12" customHeight="1">
      <c r="B61" s="367" t="s">
        <v>1163</v>
      </c>
      <c r="D61" s="365"/>
      <c r="E61" s="365"/>
      <c r="F61" s="366"/>
      <c r="G61" s="2754">
        <v>66769</v>
      </c>
      <c r="H61" s="2755"/>
      <c r="I61" s="324"/>
      <c r="J61" s="2754"/>
      <c r="K61" s="2755"/>
      <c r="L61" s="1580"/>
      <c r="M61" s="2754"/>
      <c r="N61" s="2755"/>
      <c r="P61" s="2754">
        <v>66769</v>
      </c>
      <c r="Q61" s="2755"/>
      <c r="S61" s="2754"/>
      <c r="T61" s="2755"/>
      <c r="V61" s="2347"/>
      <c r="W61" s="2850"/>
      <c r="X61" s="2851"/>
    </row>
    <row r="62" spans="1:24" s="305" customFormat="1" ht="12" customHeight="1">
      <c r="A62" s="387" t="str">
        <f>IF(AND(G62&gt;0,OR(C62="",C62="&lt;Enter detailed description here; use Comments section if needed&gt;")),"X","")</f>
        <v/>
      </c>
      <c r="B62" s="305" t="s">
        <v>749</v>
      </c>
      <c r="C62" s="2886"/>
      <c r="D62" s="2886"/>
      <c r="E62" s="2886"/>
      <c r="F62" s="2887"/>
      <c r="G62" s="2754"/>
      <c r="H62" s="2755"/>
      <c r="J62" s="2754"/>
      <c r="K62" s="2755"/>
      <c r="L62" s="1580"/>
      <c r="M62" s="2754"/>
      <c r="N62" s="2755"/>
      <c r="P62" s="2754"/>
      <c r="Q62" s="2755"/>
      <c r="S62" s="2754"/>
      <c r="T62" s="2755"/>
      <c r="U62" s="386" t="str">
        <f>IF(AND(G62&gt;0,OR(C62="",C62="&lt;Enter detailed description here; use Comments section if needed&gt;")),"NO DESCRIPTION PROVIDED - please enter detailed description in Other box at left; use Comments section below if needed.","")</f>
        <v/>
      </c>
      <c r="V62" s="2347"/>
      <c r="W62" s="2850"/>
      <c r="X62" s="2851"/>
    </row>
    <row r="63" spans="1:24" s="305" customFormat="1" ht="12" customHeight="1" thickBot="1">
      <c r="A63" s="387" t="str">
        <f>IF(AND(G63&gt;0,OR(C63="",C63="&lt;Enter detailed description here; use Comments section if needed&gt;")),"X","")</f>
        <v/>
      </c>
      <c r="B63" s="305" t="s">
        <v>749</v>
      </c>
      <c r="C63" s="2884"/>
      <c r="D63" s="2884"/>
      <c r="E63" s="2884"/>
      <c r="F63" s="2885"/>
      <c r="G63" s="2732"/>
      <c r="H63" s="2733"/>
      <c r="J63" s="2732"/>
      <c r="K63" s="2733"/>
      <c r="L63" s="1580"/>
      <c r="M63" s="2732"/>
      <c r="N63" s="2733"/>
      <c r="P63" s="2732"/>
      <c r="Q63" s="2733"/>
      <c r="S63" s="2732"/>
      <c r="T63" s="2733"/>
      <c r="U63" s="386" t="str">
        <f>IF(AND(G63&gt;0,OR(C63="",C63="&lt;Enter detailed description here; use Comments section if needed&gt;")),"NO DESCRIPTION PROVIDED - please enter detailed description in Other box at left; use Comments section below if needed.","")</f>
        <v/>
      </c>
      <c r="V63" s="2347"/>
      <c r="W63" s="2889"/>
      <c r="X63" s="2890"/>
    </row>
    <row r="64" spans="1:24" s="305" customFormat="1" ht="12" customHeight="1" thickTop="1">
      <c r="F64" s="361" t="s">
        <v>193</v>
      </c>
      <c r="G64" s="2854">
        <f>SUM(G52:H63)</f>
        <v>269159</v>
      </c>
      <c r="H64" s="2855"/>
      <c r="J64" s="2854">
        <f>SUM(J52:K63)</f>
        <v>0</v>
      </c>
      <c r="K64" s="2855"/>
      <c r="L64" s="363"/>
      <c r="M64" s="2854">
        <f>SUM(M52:N63)</f>
        <v>0</v>
      </c>
      <c r="N64" s="2855"/>
      <c r="P64" s="2854">
        <f>SUM(P52:Q63)</f>
        <v>246769</v>
      </c>
      <c r="Q64" s="2855"/>
      <c r="S64" s="2854">
        <f>SUM(S52:T63)</f>
        <v>22390</v>
      </c>
      <c r="T64" s="2855"/>
      <c r="V64" s="2348">
        <f>SUM(V52:V63)</f>
        <v>0</v>
      </c>
      <c r="W64" s="2900"/>
      <c r="X64" s="2901"/>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43">
        <v>200000</v>
      </c>
      <c r="H66" s="2744"/>
      <c r="J66" s="2743"/>
      <c r="K66" s="2744"/>
      <c r="L66" s="1580"/>
      <c r="M66" s="2743"/>
      <c r="N66" s="2744"/>
      <c r="P66" s="2743">
        <v>200000</v>
      </c>
      <c r="Q66" s="2744"/>
      <c r="S66" s="2743"/>
      <c r="T66" s="2744"/>
      <c r="V66" s="2344"/>
      <c r="W66" s="2850"/>
      <c r="X66" s="2851"/>
    </row>
    <row r="67" spans="1:24" s="305" customFormat="1" ht="12" customHeight="1">
      <c r="B67" s="305" t="s">
        <v>482</v>
      </c>
      <c r="G67" s="2754">
        <v>86000</v>
      </c>
      <c r="H67" s="2755"/>
      <c r="J67" s="2754"/>
      <c r="K67" s="2755"/>
      <c r="L67" s="1580"/>
      <c r="M67" s="2754"/>
      <c r="N67" s="2755"/>
      <c r="P67" s="2754">
        <v>86000</v>
      </c>
      <c r="Q67" s="2755"/>
      <c r="S67" s="2754"/>
      <c r="T67" s="2755"/>
      <c r="V67" s="2344"/>
      <c r="W67" s="2850"/>
      <c r="X67" s="2851"/>
    </row>
    <row r="68" spans="1:24" s="305" customFormat="1" ht="12" customHeight="1">
      <c r="B68" s="305" t="s">
        <v>1137</v>
      </c>
      <c r="D68" s="318" t="s">
        <v>3877</v>
      </c>
      <c r="E68" s="1167">
        <f>'DCA Underwriting Assumptions'!R77</f>
        <v>20000</v>
      </c>
      <c r="F68" s="1168" t="str">
        <f>IF(G68&gt;E68,"CHECK!!!","")</f>
        <v/>
      </c>
      <c r="G68" s="2754">
        <v>20000</v>
      </c>
      <c r="H68" s="2755"/>
      <c r="J68" s="2754"/>
      <c r="K68" s="2755"/>
      <c r="L68" s="1580"/>
      <c r="M68" s="2754"/>
      <c r="N68" s="2755"/>
      <c r="P68" s="2754">
        <v>20000</v>
      </c>
      <c r="Q68" s="2755"/>
      <c r="S68" s="2754"/>
      <c r="T68" s="2755"/>
      <c r="V68" s="2344"/>
      <c r="W68" s="2850"/>
      <c r="X68" s="2851"/>
    </row>
    <row r="69" spans="1:24" s="305" customFormat="1" ht="12" customHeight="1">
      <c r="B69" s="305" t="s">
        <v>1138</v>
      </c>
      <c r="G69" s="2754">
        <v>25000</v>
      </c>
      <c r="H69" s="2755"/>
      <c r="J69" s="2754"/>
      <c r="K69" s="2755"/>
      <c r="L69" s="1580"/>
      <c r="M69" s="2754"/>
      <c r="N69" s="2755"/>
      <c r="P69" s="2754">
        <v>25000</v>
      </c>
      <c r="Q69" s="2755"/>
      <c r="S69" s="2754"/>
      <c r="T69" s="2755"/>
      <c r="V69" s="2344"/>
      <c r="W69" s="2850"/>
      <c r="X69" s="2851"/>
    </row>
    <row r="70" spans="1:24" s="305" customFormat="1" ht="12" customHeight="1">
      <c r="B70" s="305" t="s">
        <v>1139</v>
      </c>
      <c r="G70" s="2754">
        <v>15000</v>
      </c>
      <c r="H70" s="2755"/>
      <c r="J70" s="2754"/>
      <c r="K70" s="2755"/>
      <c r="L70" s="1580"/>
      <c r="M70" s="2754"/>
      <c r="N70" s="2755"/>
      <c r="P70" s="2754">
        <v>15000</v>
      </c>
      <c r="Q70" s="2755"/>
      <c r="S70" s="2754"/>
      <c r="T70" s="2755"/>
      <c r="V70" s="2344"/>
      <c r="W70" s="2850"/>
      <c r="X70" s="2851"/>
    </row>
    <row r="71" spans="1:24" s="305" customFormat="1" ht="12" customHeight="1">
      <c r="B71" s="305" t="s">
        <v>1140</v>
      </c>
      <c r="G71" s="2754">
        <v>30000</v>
      </c>
      <c r="H71" s="2755"/>
      <c r="J71" s="2754"/>
      <c r="K71" s="2755"/>
      <c r="L71" s="1580"/>
      <c r="M71" s="2754"/>
      <c r="N71" s="2755"/>
      <c r="P71" s="2754">
        <v>30000</v>
      </c>
      <c r="Q71" s="2755"/>
      <c r="S71" s="2754"/>
      <c r="T71" s="2755"/>
      <c r="V71" s="2344"/>
      <c r="W71" s="2850"/>
      <c r="X71" s="2851"/>
    </row>
    <row r="72" spans="1:24" s="305" customFormat="1" ht="12" customHeight="1">
      <c r="B72" s="305" t="s">
        <v>483</v>
      </c>
      <c r="G72" s="2754">
        <v>75000</v>
      </c>
      <c r="H72" s="2755"/>
      <c r="J72" s="2754"/>
      <c r="K72" s="2755"/>
      <c r="L72" s="1580"/>
      <c r="M72" s="2754"/>
      <c r="N72" s="2755"/>
      <c r="P72" s="2754">
        <v>75000</v>
      </c>
      <c r="Q72" s="2755"/>
      <c r="S72" s="2754"/>
      <c r="T72" s="2755"/>
      <c r="V72" s="2344"/>
      <c r="W72" s="2850"/>
      <c r="X72" s="2851"/>
    </row>
    <row r="73" spans="1:24" s="305" customFormat="1" ht="12" customHeight="1">
      <c r="B73" s="305" t="s">
        <v>484</v>
      </c>
      <c r="G73" s="2754">
        <v>95000</v>
      </c>
      <c r="H73" s="2755"/>
      <c r="J73" s="2754"/>
      <c r="K73" s="2755"/>
      <c r="L73" s="1580"/>
      <c r="M73" s="2754"/>
      <c r="N73" s="2755"/>
      <c r="P73" s="2754">
        <v>95000</v>
      </c>
      <c r="Q73" s="2755"/>
      <c r="S73" s="2754"/>
      <c r="T73" s="2755"/>
      <c r="V73" s="2344"/>
      <c r="W73" s="2850"/>
      <c r="X73" s="2851"/>
    </row>
    <row r="74" spans="1:24" s="305" customFormat="1" ht="12" customHeight="1">
      <c r="B74" s="305" t="s">
        <v>2065</v>
      </c>
      <c r="G74" s="2754">
        <v>85000</v>
      </c>
      <c r="H74" s="2755"/>
      <c r="J74" s="2754"/>
      <c r="K74" s="2755"/>
      <c r="L74" s="1580"/>
      <c r="M74" s="2754"/>
      <c r="N74" s="2755"/>
      <c r="P74" s="2754">
        <v>60000</v>
      </c>
      <c r="Q74" s="2755"/>
      <c r="S74" s="2754">
        <v>25000</v>
      </c>
      <c r="T74" s="2755"/>
      <c r="V74" s="2344"/>
      <c r="W74" s="2850"/>
      <c r="X74" s="2851"/>
    </row>
    <row r="75" spans="1:24" s="305" customFormat="1" ht="12" customHeight="1">
      <c r="B75" s="305" t="s">
        <v>1289</v>
      </c>
      <c r="G75" s="2754">
        <v>4000</v>
      </c>
      <c r="H75" s="2755"/>
      <c r="J75" s="2754"/>
      <c r="K75" s="2755"/>
      <c r="L75" s="1580"/>
      <c r="M75" s="2754"/>
      <c r="N75" s="2755"/>
      <c r="P75" s="2754"/>
      <c r="Q75" s="2755"/>
      <c r="S75" s="2754">
        <v>4000</v>
      </c>
      <c r="T75" s="2755"/>
      <c r="V75" s="2344"/>
      <c r="W75" s="2850"/>
      <c r="X75" s="2851"/>
    </row>
    <row r="76" spans="1:24" s="305" customFormat="1" ht="12" customHeight="1" thickBot="1">
      <c r="A76" s="387" t="str">
        <f>IF(AND(G76&gt;0,OR(C76="",C76="&lt;Enter detailed description here; use Comments section if needed&gt;")),"X","")</f>
        <v/>
      </c>
      <c r="B76" s="305" t="s">
        <v>749</v>
      </c>
      <c r="C76" s="2852" t="s">
        <v>3738</v>
      </c>
      <c r="D76" s="2852"/>
      <c r="E76" s="2852"/>
      <c r="F76" s="2853"/>
      <c r="G76" s="2732"/>
      <c r="H76" s="2733"/>
      <c r="J76" s="2732"/>
      <c r="K76" s="2733"/>
      <c r="L76" s="1580"/>
      <c r="M76" s="2732"/>
      <c r="N76" s="2733"/>
      <c r="P76" s="2732"/>
      <c r="Q76" s="2733"/>
      <c r="S76" s="2732"/>
      <c r="T76" s="2733"/>
      <c r="U76" s="386" t="str">
        <f>IF(AND(G76&gt;0,OR(C76="",C76="&lt;Enter detailed description here; use Comments section if needed&gt;")),"NO DESCRIPTION PROVIDED - please enter detailed description in Other box at left; use Comments section below if needed.","")</f>
        <v/>
      </c>
      <c r="V76" s="2344"/>
      <c r="W76" s="2889"/>
      <c r="X76" s="2890"/>
    </row>
    <row r="77" spans="1:24" s="305" customFormat="1" ht="12" customHeight="1" thickTop="1">
      <c r="F77" s="361" t="s">
        <v>193</v>
      </c>
      <c r="G77" s="2854">
        <f>SUM(G66:H76)</f>
        <v>635000</v>
      </c>
      <c r="H77" s="2855"/>
      <c r="J77" s="2854">
        <f>SUM(J66:K76)</f>
        <v>0</v>
      </c>
      <c r="K77" s="2855"/>
      <c r="L77" s="363"/>
      <c r="M77" s="2854">
        <f>SUM(M66:N76)</f>
        <v>0</v>
      </c>
      <c r="N77" s="2855"/>
      <c r="P77" s="2854">
        <f>SUM(P66:Q76)</f>
        <v>606000</v>
      </c>
      <c r="Q77" s="2855"/>
      <c r="S77" s="2854">
        <f>SUM(S66:T76)</f>
        <v>29000</v>
      </c>
      <c r="T77" s="2855"/>
      <c r="V77" s="2346">
        <f>SUM(V66:V76)</f>
        <v>0</v>
      </c>
      <c r="W77" s="2900"/>
      <c r="X77" s="2901"/>
    </row>
    <row r="78" spans="1:24" ht="12" customHeight="1">
      <c r="A78" s="305"/>
      <c r="B78" s="307" t="s">
        <v>1281</v>
      </c>
      <c r="C78" s="305"/>
      <c r="D78" s="969" t="s">
        <v>3762</v>
      </c>
      <c r="E78" s="1054">
        <f>G83/'Part VI-Revenues &amp; Expenses'!$O$62</f>
        <v>618.43089430894304</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43">
        <v>56067</v>
      </c>
      <c r="H79" s="2744"/>
      <c r="J79" s="2743"/>
      <c r="K79" s="2744"/>
      <c r="L79" s="1580"/>
      <c r="M79" s="2743"/>
      <c r="N79" s="2744"/>
      <c r="P79" s="2743">
        <v>56067</v>
      </c>
      <c r="Q79" s="2744"/>
      <c r="S79" s="2743"/>
      <c r="T79" s="2744"/>
      <c r="V79" s="2344"/>
      <c r="W79" s="2850"/>
      <c r="X79" s="2851"/>
    </row>
    <row r="80" spans="1:24" s="305" customFormat="1" ht="12" customHeight="1">
      <c r="B80" s="305" t="s">
        <v>1283</v>
      </c>
      <c r="G80" s="2754" t="s">
        <v>4648</v>
      </c>
      <c r="H80" s="2755"/>
      <c r="J80" s="2754"/>
      <c r="K80" s="2755"/>
      <c r="L80" s="1580"/>
      <c r="M80" s="2754"/>
      <c r="N80" s="2755"/>
      <c r="P80" s="2754"/>
      <c r="Q80" s="2755"/>
      <c r="S80" s="2754"/>
      <c r="T80" s="2755"/>
      <c r="V80" s="2344"/>
      <c r="W80" s="2850"/>
      <c r="X80" s="2851"/>
    </row>
    <row r="81" spans="1:24" s="305" customFormat="1" ht="12" customHeight="1">
      <c r="B81" s="305" t="s">
        <v>1284</v>
      </c>
      <c r="D81" s="369" t="s">
        <v>1415</v>
      </c>
      <c r="E81" s="2349" t="s">
        <v>3014</v>
      </c>
      <c r="G81" s="2754">
        <v>10000</v>
      </c>
      <c r="H81" s="2755"/>
      <c r="I81" s="324"/>
      <c r="J81" s="2754"/>
      <c r="K81" s="2755"/>
      <c r="L81" s="1580"/>
      <c r="M81" s="2754"/>
      <c r="N81" s="2755"/>
      <c r="P81" s="2754">
        <v>10000</v>
      </c>
      <c r="Q81" s="2755"/>
      <c r="S81" s="2754"/>
      <c r="T81" s="2755"/>
      <c r="V81" s="2344"/>
      <c r="W81" s="2850"/>
      <c r="X81" s="2851"/>
    </row>
    <row r="82" spans="1:24" s="305" customFormat="1" ht="12" customHeight="1" thickBot="1">
      <c r="B82" s="305" t="s">
        <v>1285</v>
      </c>
      <c r="D82" s="369" t="s">
        <v>1415</v>
      </c>
      <c r="E82" s="2350" t="s">
        <v>3014</v>
      </c>
      <c r="G82" s="2732">
        <v>10000</v>
      </c>
      <c r="H82" s="2733"/>
      <c r="I82" s="324"/>
      <c r="J82" s="2732"/>
      <c r="K82" s="2733"/>
      <c r="L82" s="1580"/>
      <c r="M82" s="2732"/>
      <c r="N82" s="2733"/>
      <c r="P82" s="2732">
        <v>10000</v>
      </c>
      <c r="Q82" s="2733"/>
      <c r="S82" s="2732"/>
      <c r="T82" s="2733"/>
      <c r="V82" s="2344"/>
      <c r="W82" s="2889"/>
      <c r="X82" s="2890"/>
    </row>
    <row r="83" spans="1:24" s="305" customFormat="1" ht="12" customHeight="1" thickTop="1">
      <c r="F83" s="361" t="s">
        <v>193</v>
      </c>
      <c r="G83" s="2854">
        <f>SUM(G79:H82)</f>
        <v>76067</v>
      </c>
      <c r="H83" s="2855"/>
      <c r="J83" s="2854">
        <f>SUM(J79:K82)</f>
        <v>0</v>
      </c>
      <c r="K83" s="2855"/>
      <c r="L83" s="363"/>
      <c r="M83" s="2854">
        <f>SUM(M79:N82)</f>
        <v>0</v>
      </c>
      <c r="N83" s="2855"/>
      <c r="P83" s="2854">
        <f>SUM(P79:Q82)</f>
        <v>76067</v>
      </c>
      <c r="Q83" s="2855"/>
      <c r="S83" s="2854">
        <f>SUM(S79:T82)</f>
        <v>0</v>
      </c>
      <c r="T83" s="2855"/>
      <c r="V83" s="2346">
        <f>SUM(V79:V82)</f>
        <v>0</v>
      </c>
      <c r="W83" s="2900"/>
      <c r="X83" s="2901"/>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43"/>
      <c r="H85" s="2744"/>
      <c r="J85" s="2888"/>
      <c r="K85" s="2888"/>
      <c r="L85" s="1580"/>
      <c r="M85" s="2888"/>
      <c r="N85" s="2888"/>
      <c r="P85" s="2888"/>
      <c r="Q85" s="2888"/>
      <c r="S85" s="2743"/>
      <c r="T85" s="2744"/>
      <c r="V85" s="2344"/>
      <c r="W85" s="2850"/>
      <c r="X85" s="2851"/>
    </row>
    <row r="86" spans="1:24" s="305" customFormat="1" ht="12" customHeight="1">
      <c r="B86" s="305" t="s">
        <v>1287</v>
      </c>
      <c r="G86" s="2754"/>
      <c r="H86" s="2755"/>
      <c r="J86" s="2888"/>
      <c r="K86" s="2888"/>
      <c r="L86" s="1580"/>
      <c r="M86" s="2888"/>
      <c r="N86" s="2888"/>
      <c r="P86" s="2888"/>
      <c r="Q86" s="2888"/>
      <c r="S86" s="2754"/>
      <c r="T86" s="2755"/>
      <c r="V86" s="2344"/>
      <c r="W86" s="2850"/>
      <c r="X86" s="2851"/>
    </row>
    <row r="87" spans="1:24" s="305" customFormat="1" ht="12" customHeight="1">
      <c r="B87" s="305" t="s">
        <v>1288</v>
      </c>
      <c r="G87" s="2754"/>
      <c r="H87" s="2755"/>
      <c r="J87" s="2888"/>
      <c r="K87" s="2888"/>
      <c r="L87" s="1580"/>
      <c r="M87" s="2888"/>
      <c r="N87" s="2888"/>
      <c r="P87" s="2888"/>
      <c r="Q87" s="2888"/>
      <c r="S87" s="2754"/>
      <c r="T87" s="2755"/>
      <c r="V87" s="2344"/>
      <c r="W87" s="2850"/>
      <c r="X87" s="2851"/>
    </row>
    <row r="88" spans="1:24" s="305" customFormat="1" ht="12" customHeight="1">
      <c r="B88" s="305" t="s">
        <v>1290</v>
      </c>
      <c r="G88" s="2754"/>
      <c r="H88" s="2755"/>
      <c r="J88" s="2888"/>
      <c r="K88" s="2888"/>
      <c r="L88" s="1580"/>
      <c r="M88" s="2888"/>
      <c r="N88" s="2888"/>
      <c r="P88" s="2888"/>
      <c r="Q88" s="2888"/>
      <c r="S88" s="2754"/>
      <c r="T88" s="2755"/>
      <c r="V88" s="2344"/>
      <c r="W88" s="2850"/>
      <c r="X88" s="2851"/>
    </row>
    <row r="89" spans="1:24" s="305" customFormat="1" ht="12" customHeight="1">
      <c r="B89" s="305" t="s">
        <v>2314</v>
      </c>
      <c r="G89" s="2754"/>
      <c r="H89" s="2755"/>
      <c r="J89" s="2888"/>
      <c r="K89" s="2888"/>
      <c r="L89" s="1580"/>
      <c r="M89" s="2888"/>
      <c r="N89" s="2888"/>
      <c r="P89" s="2888"/>
      <c r="Q89" s="2888"/>
      <c r="S89" s="2754"/>
      <c r="T89" s="2755"/>
      <c r="V89" s="2344"/>
      <c r="W89" s="2850"/>
      <c r="X89" s="2851"/>
    </row>
    <row r="90" spans="1:24" s="305" customFormat="1" ht="12" customHeight="1" thickBot="1">
      <c r="A90" s="387" t="str">
        <f>IF(AND(G90&gt;0,OR(C90="",C90="&lt;Enter detailed description here; use Comments section if needed&gt;")),"X","")</f>
        <v/>
      </c>
      <c r="B90" s="305" t="s">
        <v>749</v>
      </c>
      <c r="C90" s="2852" t="s">
        <v>3738</v>
      </c>
      <c r="D90" s="2852"/>
      <c r="E90" s="2852"/>
      <c r="F90" s="2853"/>
      <c r="G90" s="2732"/>
      <c r="H90" s="2733"/>
      <c r="J90" s="2888"/>
      <c r="K90" s="2888"/>
      <c r="L90" s="1580"/>
      <c r="M90" s="2888"/>
      <c r="N90" s="2888"/>
      <c r="P90" s="2888"/>
      <c r="Q90" s="2888"/>
      <c r="S90" s="2732"/>
      <c r="T90" s="2733"/>
      <c r="U90" s="386" t="str">
        <f>IF(AND(G90&gt;0,OR(C90="",C90="&lt;Enter detailed description here; use Comments section if needed&gt;")),"NO DESCRIPTION PROVIDED - please enter detailed description in Other box at left; use Comments section below if needed.","")</f>
        <v/>
      </c>
      <c r="V90" s="2344"/>
      <c r="W90" s="2889"/>
      <c r="X90" s="2890"/>
    </row>
    <row r="91" spans="1:24" s="305" customFormat="1" ht="12" customHeight="1" thickTop="1">
      <c r="F91" s="361" t="s">
        <v>193</v>
      </c>
      <c r="G91" s="2854">
        <f>SUM(G85:H90)</f>
        <v>0</v>
      </c>
      <c r="H91" s="2855"/>
      <c r="J91" s="2888"/>
      <c r="K91" s="2888"/>
      <c r="L91" s="363"/>
      <c r="M91" s="2888"/>
      <c r="N91" s="2888"/>
      <c r="P91" s="2888"/>
      <c r="Q91" s="2888"/>
      <c r="S91" s="2854">
        <f>SUM(S85:T90)</f>
        <v>0</v>
      </c>
      <c r="T91" s="2855"/>
      <c r="V91" s="2346">
        <f>SUM(V85:V90)</f>
        <v>0</v>
      </c>
      <c r="W91" s="2900"/>
      <c r="X91" s="2901"/>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2840" t="s">
        <v>273</v>
      </c>
      <c r="K93" s="2841"/>
      <c r="L93" s="360"/>
      <c r="M93" s="2844" t="s">
        <v>494</v>
      </c>
      <c r="N93" s="2845"/>
      <c r="P93" s="2840" t="s">
        <v>274</v>
      </c>
      <c r="Q93" s="2841"/>
      <c r="S93" s="2840" t="s">
        <v>275</v>
      </c>
      <c r="T93" s="2841"/>
      <c r="V93" s="438" t="str">
        <f>B93</f>
        <v>DEVELOPMENT BUDGET  (cont'd)</v>
      </c>
    </row>
    <row r="94" spans="1:24" s="305" customFormat="1" ht="18" customHeight="1" thickBot="1">
      <c r="G94" s="2848" t="s">
        <v>102</v>
      </c>
      <c r="H94" s="2849"/>
      <c r="J94" s="2842"/>
      <c r="K94" s="2843"/>
      <c r="L94" s="360"/>
      <c r="M94" s="2846"/>
      <c r="N94" s="2847"/>
      <c r="P94" s="2842"/>
      <c r="Q94" s="2843"/>
      <c r="S94" s="2842"/>
      <c r="T94" s="2843"/>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3">
        <v>1000</v>
      </c>
      <c r="H96" s="2744"/>
      <c r="J96" s="363"/>
      <c r="K96" s="363"/>
      <c r="L96" s="1580"/>
      <c r="M96" s="363"/>
      <c r="N96" s="363"/>
      <c r="P96" s="363"/>
      <c r="Q96" s="363"/>
      <c r="S96" s="2743">
        <v>1000</v>
      </c>
      <c r="T96" s="2744"/>
      <c r="V96" s="2344"/>
      <c r="W96" s="2850"/>
      <c r="X96" s="2851"/>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4">
        <v>5500</v>
      </c>
      <c r="H97" s="2755"/>
      <c r="J97" s="363"/>
      <c r="K97" s="363"/>
      <c r="L97" s="370"/>
      <c r="M97" s="363"/>
      <c r="N97" s="363"/>
      <c r="P97" s="363"/>
      <c r="Q97" s="363"/>
      <c r="S97" s="2754">
        <v>5500</v>
      </c>
      <c r="T97" s="2755"/>
      <c r="V97" s="2344"/>
      <c r="W97" s="2850"/>
      <c r="X97" s="2851"/>
    </row>
    <row r="98" spans="1:24" s="305" customFormat="1" ht="12.6" customHeight="1">
      <c r="B98" s="305" t="s">
        <v>3984</v>
      </c>
      <c r="G98" s="2754"/>
      <c r="H98" s="2755"/>
      <c r="J98" s="363"/>
      <c r="K98" s="363"/>
      <c r="L98" s="370"/>
      <c r="M98" s="363"/>
      <c r="N98" s="363"/>
      <c r="O98" s="1570"/>
      <c r="P98" s="363"/>
      <c r="Q98" s="363"/>
      <c r="S98" s="2754"/>
      <c r="T98" s="2755"/>
      <c r="V98" s="2344"/>
      <c r="W98" s="2850"/>
      <c r="X98" s="2851"/>
    </row>
    <row r="99" spans="1:24" s="305" customFormat="1" ht="12.6" customHeight="1">
      <c r="B99" s="305" t="s">
        <v>524</v>
      </c>
      <c r="E99" s="2891">
        <f>'DCA Underwriting Assumptions'!$Q$88*J175</f>
        <v>75200</v>
      </c>
      <c r="F99" s="2892"/>
      <c r="G99" s="2754">
        <v>75200</v>
      </c>
      <c r="H99" s="2755"/>
      <c r="J99" s="1055" t="str">
        <f>IF(E99&gt;G99,"WARNING!  LIHTC Allocation Fee proposed is below minimum required.","")</f>
        <v/>
      </c>
      <c r="K99" s="363"/>
      <c r="L99" s="1580"/>
      <c r="M99" s="363"/>
      <c r="N99" s="363"/>
      <c r="O99" s="1570"/>
      <c r="P99" s="363"/>
      <c r="Q99" s="363"/>
      <c r="S99" s="2754">
        <v>75200</v>
      </c>
      <c r="T99" s="2755"/>
      <c r="V99" s="2344"/>
      <c r="W99" s="2850"/>
      <c r="X99" s="2851"/>
    </row>
    <row r="100" spans="1:24" s="305" customFormat="1" ht="12.6" customHeight="1">
      <c r="B100" s="305" t="s">
        <v>761</v>
      </c>
      <c r="E100" s="289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100" s="2892"/>
      <c r="G100" s="2754">
        <v>98400</v>
      </c>
      <c r="H100" s="2755"/>
      <c r="J100" s="1055" t="str">
        <f>IF(E100&gt;G100,"WARNING!  LIHTC Compliance Fee proposed is below minimum required.","")</f>
        <v/>
      </c>
      <c r="K100" s="280"/>
      <c r="L100" s="280"/>
      <c r="M100" s="280"/>
      <c r="N100" s="280"/>
      <c r="O100" s="280"/>
      <c r="P100" s="280"/>
      <c r="Q100" s="280"/>
      <c r="S100" s="2754">
        <v>98400</v>
      </c>
      <c r="T100" s="2755"/>
      <c r="V100" s="2344"/>
      <c r="W100" s="2850"/>
      <c r="X100" s="2851"/>
    </row>
    <row r="101" spans="1:24" s="305" customFormat="1" ht="12.6" customHeight="1">
      <c r="B101" s="305" t="s">
        <v>4297</v>
      </c>
      <c r="F101" s="1387">
        <f>'DCA Underwriting Assumptions'!$Q$90</f>
        <v>3000</v>
      </c>
      <c r="G101" s="2754"/>
      <c r="H101" s="2755"/>
      <c r="J101" s="280"/>
      <c r="K101" s="280"/>
      <c r="L101" s="280"/>
      <c r="M101" s="280"/>
      <c r="N101" s="280"/>
      <c r="O101" s="280"/>
      <c r="P101" s="280"/>
      <c r="Q101" s="280"/>
      <c r="S101" s="2754"/>
      <c r="T101" s="2755"/>
      <c r="V101" s="2344"/>
      <c r="W101" s="2850"/>
      <c r="X101" s="2851"/>
    </row>
    <row r="102" spans="1:24" s="305" customFormat="1" ht="12.6" customHeight="1">
      <c r="B102" s="305" t="s">
        <v>4298</v>
      </c>
      <c r="F102" s="1387">
        <f>'DCA Underwriting Assumptions'!$Q$111</f>
        <v>3000</v>
      </c>
      <c r="G102" s="2754"/>
      <c r="H102" s="2755"/>
      <c r="J102" s="280"/>
      <c r="K102" s="280"/>
      <c r="L102" s="280"/>
      <c r="M102" s="280"/>
      <c r="N102" s="280"/>
      <c r="O102" s="280"/>
      <c r="P102" s="280"/>
      <c r="Q102" s="280"/>
      <c r="S102" s="2754"/>
      <c r="T102" s="2755"/>
      <c r="V102" s="2344"/>
      <c r="W102" s="2850"/>
      <c r="X102" s="2851"/>
    </row>
    <row r="103" spans="1:24" s="305" customFormat="1" ht="12.6" customHeight="1">
      <c r="A103" s="387" t="str">
        <f>IF(AND(G103&gt;0,OR(C103="",C103="&lt;Enter detailed description here; use Comments section if needed&gt;")),"X","")</f>
        <v/>
      </c>
      <c r="B103" s="305" t="s">
        <v>749</v>
      </c>
      <c r="C103" s="2886" t="s">
        <v>3738</v>
      </c>
      <c r="D103" s="2886"/>
      <c r="E103" s="2886"/>
      <c r="F103" s="2887"/>
      <c r="G103" s="2754"/>
      <c r="H103" s="2755"/>
      <c r="J103" s="280"/>
      <c r="K103" s="280"/>
      <c r="L103" s="280"/>
      <c r="M103" s="280"/>
      <c r="N103" s="280"/>
      <c r="O103" s="280"/>
      <c r="P103" s="280"/>
      <c r="Q103" s="280"/>
      <c r="S103" s="2754"/>
      <c r="T103" s="2755"/>
      <c r="U103" s="386" t="str">
        <f>IF(AND(G103&gt;0,OR(C103="",C103="&lt;Enter detailed description here; use Comments section if needed&gt;")),"NO DESCRIPTION PROVIDED - please enter detailed description in Other box at left; use Comments section below if needed.","")</f>
        <v/>
      </c>
      <c r="V103" s="2344"/>
      <c r="W103" s="2850"/>
      <c r="X103" s="2851"/>
    </row>
    <row r="104" spans="1:24" s="305" customFormat="1" ht="12.6" customHeight="1" thickBot="1">
      <c r="A104" s="387" t="str">
        <f>IF(AND(G104&gt;0,OR(C104="",C104="&lt;Enter detailed description here; use Comments section if needed&gt;")),"X","")</f>
        <v/>
      </c>
      <c r="B104" s="305" t="s">
        <v>749</v>
      </c>
      <c r="C104" s="2884" t="s">
        <v>3738</v>
      </c>
      <c r="D104" s="2884"/>
      <c r="E104" s="2884"/>
      <c r="F104" s="2885"/>
      <c r="G104" s="2732"/>
      <c r="H104" s="2733"/>
      <c r="J104" s="280"/>
      <c r="K104" s="280"/>
      <c r="L104" s="280"/>
      <c r="M104" s="280"/>
      <c r="N104" s="280"/>
      <c r="O104" s="280"/>
      <c r="P104" s="280"/>
      <c r="Q104" s="280"/>
      <c r="S104" s="2732"/>
      <c r="T104" s="2733"/>
      <c r="U104" s="386" t="str">
        <f>IF(AND(G104&gt;0,OR(C104="",C104="&lt;Enter detailed description here; use Comments section if needed&gt;")),"NO DESCRIPTION PROVIDED - please enter detailed description in Other box at left; use Comments section below if needed.","")</f>
        <v/>
      </c>
      <c r="V104" s="2344"/>
      <c r="W104" s="2889"/>
      <c r="X104" s="2890"/>
    </row>
    <row r="105" spans="1:24" s="305" customFormat="1" ht="12.6" customHeight="1" thickTop="1">
      <c r="F105" s="361" t="s">
        <v>193</v>
      </c>
      <c r="G105" s="2854">
        <f>SUM(G96:H104)</f>
        <v>180100</v>
      </c>
      <c r="H105" s="2855"/>
      <c r="J105" s="363"/>
      <c r="K105" s="363"/>
      <c r="L105" s="1580"/>
      <c r="M105" s="363"/>
      <c r="N105" s="363"/>
      <c r="P105" s="363"/>
      <c r="Q105" s="363"/>
      <c r="S105" s="2854">
        <f>SUM(S96:T104)</f>
        <v>180100</v>
      </c>
      <c r="T105" s="2855"/>
      <c r="V105" s="2346">
        <f>SUM(V96:V104)</f>
        <v>0</v>
      </c>
      <c r="W105" s="2351"/>
      <c r="X105" s="235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43"/>
      <c r="H107" s="2744"/>
      <c r="J107" s="2888"/>
      <c r="K107" s="2888"/>
      <c r="L107" s="1580"/>
      <c r="M107" s="2888"/>
      <c r="N107" s="2888"/>
      <c r="O107" s="1570"/>
      <c r="P107" s="2888"/>
      <c r="Q107" s="2888"/>
      <c r="S107" s="2743"/>
      <c r="T107" s="2744"/>
      <c r="V107" s="2344"/>
      <c r="W107" s="2850"/>
      <c r="X107" s="2851"/>
    </row>
    <row r="108" spans="1:24" s="305" customFormat="1" ht="12.6" customHeight="1">
      <c r="B108" s="305" t="s">
        <v>282</v>
      </c>
      <c r="G108" s="2754"/>
      <c r="H108" s="2755"/>
      <c r="J108" s="2888"/>
      <c r="K108" s="2888"/>
      <c r="L108" s="1580"/>
      <c r="M108" s="2888"/>
      <c r="N108" s="2888"/>
      <c r="O108" s="1570"/>
      <c r="P108" s="2888"/>
      <c r="Q108" s="2888"/>
      <c r="S108" s="2754"/>
      <c r="T108" s="2755"/>
      <c r="V108" s="2344"/>
      <c r="W108" s="2850"/>
      <c r="X108" s="2851"/>
    </row>
    <row r="109" spans="1:24" s="305" customFormat="1" ht="12.6" customHeight="1">
      <c r="B109" s="305" t="s">
        <v>2402</v>
      </c>
      <c r="G109" s="2754"/>
      <c r="H109" s="2755"/>
      <c r="J109" s="2888"/>
      <c r="K109" s="2888"/>
      <c r="L109" s="1580"/>
      <c r="M109" s="2888"/>
      <c r="N109" s="2888"/>
      <c r="O109" s="1570"/>
      <c r="P109" s="2888"/>
      <c r="Q109" s="2888"/>
      <c r="S109" s="2754"/>
      <c r="T109" s="2755"/>
      <c r="V109" s="2344"/>
      <c r="W109" s="2850"/>
      <c r="X109" s="2851"/>
    </row>
    <row r="110" spans="1:24" s="305" customFormat="1" ht="12.6" customHeight="1" thickBot="1">
      <c r="A110" s="387" t="str">
        <f>IF(AND(G110&gt;0,OR(C110="",C110="&lt;Enter detailed description here; use Comments section if needed&gt;")),"X","")</f>
        <v/>
      </c>
      <c r="B110" s="305" t="s">
        <v>749</v>
      </c>
      <c r="C110" s="2852" t="s">
        <v>3738</v>
      </c>
      <c r="D110" s="2852"/>
      <c r="E110" s="2852"/>
      <c r="F110" s="2853"/>
      <c r="G110" s="2732"/>
      <c r="H110" s="2733"/>
      <c r="J110" s="2888"/>
      <c r="K110" s="2888"/>
      <c r="L110" s="1580"/>
      <c r="M110" s="2888"/>
      <c r="N110" s="2888"/>
      <c r="O110" s="1570"/>
      <c r="P110" s="2888"/>
      <c r="Q110" s="2888"/>
      <c r="S110" s="2732"/>
      <c r="T110" s="2733"/>
      <c r="U110" s="386" t="str">
        <f>IF(AND(G110&gt;0,OR(C110="",C110="&lt;Enter detailed description here; use Comments section if needed&gt;")),"NO DESCRIPTION PROVIDED - please enter detailed description in Other box at left; use Comments section below if needed.","")</f>
        <v/>
      </c>
      <c r="V110" s="2344"/>
      <c r="W110" s="2889"/>
      <c r="X110" s="2890"/>
    </row>
    <row r="111" spans="1:24" s="305" customFormat="1" ht="12.6" customHeight="1" thickTop="1">
      <c r="F111" s="361" t="s">
        <v>193</v>
      </c>
      <c r="G111" s="2854">
        <f>SUM(G107:H110)</f>
        <v>0</v>
      </c>
      <c r="H111" s="2855"/>
      <c r="J111" s="2888"/>
      <c r="K111" s="2888"/>
      <c r="L111" s="1580"/>
      <c r="M111" s="2888"/>
      <c r="N111" s="2888"/>
      <c r="O111" s="1570"/>
      <c r="P111" s="2888"/>
      <c r="Q111" s="2888"/>
      <c r="S111" s="2854">
        <f>SUM(S107:T110)</f>
        <v>0</v>
      </c>
      <c r="T111" s="2855"/>
      <c r="V111" s="2346">
        <f>SUM(V107:V110)</f>
        <v>0</v>
      </c>
      <c r="W111" s="2900"/>
      <c r="X111" s="2901"/>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2893">
        <v>360000</v>
      </c>
      <c r="H113" s="2893"/>
      <c r="J113" s="2894"/>
      <c r="K113" s="2895"/>
      <c r="L113" s="362"/>
      <c r="M113" s="2894"/>
      <c r="N113" s="2895"/>
      <c r="P113" s="2894">
        <v>360000</v>
      </c>
      <c r="Q113" s="2895"/>
      <c r="S113" s="2894"/>
      <c r="T113" s="2895"/>
      <c r="V113" s="2344"/>
      <c r="W113" s="2850"/>
      <c r="X113" s="2851"/>
    </row>
    <row r="114" spans="1:24" s="305" customFormat="1" ht="12.6" customHeight="1">
      <c r="B114" s="305" t="s">
        <v>4250</v>
      </c>
      <c r="F114" s="2353">
        <v>360000</v>
      </c>
      <c r="V114" s="2344"/>
      <c r="W114" s="2850"/>
      <c r="X114" s="2851"/>
    </row>
    <row r="115" spans="1:24" s="305" customFormat="1" ht="12.6" customHeight="1">
      <c r="B115" s="305" t="s">
        <v>1875</v>
      </c>
      <c r="F115" s="412">
        <f>IF($G$118=0,0,G115/$G$118)</f>
        <v>0</v>
      </c>
      <c r="G115" s="2743"/>
      <c r="H115" s="2744"/>
      <c r="J115" s="2743"/>
      <c r="K115" s="2744"/>
      <c r="L115" s="1580"/>
      <c r="M115" s="2743"/>
      <c r="N115" s="2744"/>
      <c r="P115" s="2743"/>
      <c r="Q115" s="2744"/>
      <c r="S115" s="2743"/>
      <c r="T115" s="2744"/>
      <c r="V115" s="2344"/>
      <c r="W115" s="2850"/>
      <c r="X115" s="2851"/>
    </row>
    <row r="116" spans="1:24" s="305" customFormat="1" ht="12.6" customHeight="1">
      <c r="B116" s="305" t="s">
        <v>3659</v>
      </c>
      <c r="F116" s="412">
        <f>IF($G$118=0,0,G116/$G$118)</f>
        <v>0</v>
      </c>
      <c r="G116" s="2754"/>
      <c r="H116" s="2755"/>
      <c r="J116" s="2754"/>
      <c r="K116" s="2755"/>
      <c r="L116" s="1580"/>
      <c r="M116" s="2754"/>
      <c r="N116" s="2755"/>
      <c r="P116" s="2754"/>
      <c r="Q116" s="2755"/>
      <c r="S116" s="2754"/>
      <c r="T116" s="2755"/>
      <c r="V116" s="2344"/>
      <c r="W116" s="2850"/>
      <c r="X116" s="2851"/>
    </row>
    <row r="117" spans="1:24" s="305" customFormat="1" ht="12.6" customHeight="1" thickBot="1">
      <c r="B117" s="305" t="s">
        <v>1867</v>
      </c>
      <c r="F117" s="412">
        <f>IF($G$118=0,0,G117/$G$118)</f>
        <v>0.8</v>
      </c>
      <c r="G117" s="2732">
        <v>1440000</v>
      </c>
      <c r="H117" s="2733"/>
      <c r="J117" s="2732"/>
      <c r="K117" s="2733"/>
      <c r="L117" s="1580"/>
      <c r="M117" s="2732"/>
      <c r="N117" s="2733"/>
      <c r="P117" s="2732">
        <v>1440000</v>
      </c>
      <c r="Q117" s="2733"/>
      <c r="S117" s="2732"/>
      <c r="T117" s="2733"/>
      <c r="V117" s="2344"/>
      <c r="W117" s="2889"/>
      <c r="X117" s="2890"/>
    </row>
    <row r="118" spans="1:24" s="305" customFormat="1" ht="12.6" customHeight="1" thickTop="1">
      <c r="C118" s="386"/>
      <c r="F118" s="361" t="s">
        <v>193</v>
      </c>
      <c r="G118" s="2854">
        <f>SUM(G113:H117)</f>
        <v>1800000</v>
      </c>
      <c r="H118" s="2855"/>
      <c r="J118" s="2854">
        <f>SUM(J113:K117)</f>
        <v>0</v>
      </c>
      <c r="K118" s="2855"/>
      <c r="L118" s="1580"/>
      <c r="M118" s="2854">
        <f>SUM(M113:N117)</f>
        <v>0</v>
      </c>
      <c r="N118" s="2855"/>
      <c r="P118" s="2854">
        <f>SUM(P113:Q117)</f>
        <v>1800000</v>
      </c>
      <c r="Q118" s="2855"/>
      <c r="S118" s="2854">
        <f>SUM(S113:T117)</f>
        <v>0</v>
      </c>
      <c r="T118" s="2855"/>
      <c r="V118" s="2346">
        <f>SUM(V113:V117)</f>
        <v>0</v>
      </c>
      <c r="W118" s="2900"/>
      <c r="X118" s="2901"/>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43">
        <v>44000</v>
      </c>
      <c r="H120" s="2744"/>
      <c r="J120" s="371"/>
      <c r="K120" s="371"/>
      <c r="L120" s="371"/>
      <c r="M120" s="371"/>
      <c r="N120" s="371"/>
      <c r="P120" s="371"/>
      <c r="Q120" s="371"/>
      <c r="S120" s="2743">
        <v>44000</v>
      </c>
      <c r="T120" s="2744"/>
      <c r="V120" s="2344"/>
      <c r="W120" s="2850"/>
      <c r="X120" s="2851"/>
    </row>
    <row r="121" spans="1:24" s="305" customFormat="1" ht="12.6" customHeight="1">
      <c r="B121" s="305" t="s">
        <v>1548</v>
      </c>
      <c r="F121" s="513">
        <f>+'Part VI-Revenues &amp; Expenses'!$P$175*('DCA Underwriting Assumptions'!$Q$110/12)</f>
        <v>139472.25</v>
      </c>
      <c r="G121" s="2754">
        <v>141000</v>
      </c>
      <c r="H121" s="2755"/>
      <c r="J121" s="1057" t="str">
        <f>IF(E121&gt;G121,"WARNING! Rent-Up Reserves proposed is below minimum - add comment.","")</f>
        <v/>
      </c>
      <c r="K121" s="1057"/>
      <c r="L121" s="1580"/>
      <c r="M121" s="1030"/>
      <c r="N121" s="1030"/>
      <c r="O121" s="1570"/>
      <c r="P121" s="1030"/>
      <c r="Q121" s="1030"/>
      <c r="R121" s="1570"/>
      <c r="S121" s="2754">
        <v>141000</v>
      </c>
      <c r="T121" s="2755"/>
      <c r="V121" s="2344"/>
      <c r="W121" s="2850"/>
      <c r="X121" s="2851"/>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334131.81683493557</v>
      </c>
      <c r="G122" s="2754">
        <v>336000</v>
      </c>
      <c r="H122" s="2755"/>
      <c r="J122" s="1057" t="str">
        <f>IF(E122&gt;G122,"WARNING! ODR proposed is below minimum - add comment.","")</f>
        <v/>
      </c>
      <c r="K122" s="370"/>
      <c r="L122" s="370"/>
      <c r="M122" s="370"/>
      <c r="N122" s="370"/>
      <c r="O122" s="1570"/>
      <c r="P122" s="370"/>
      <c r="Q122" s="370"/>
      <c r="R122" s="1570"/>
      <c r="S122" s="2754">
        <v>336000</v>
      </c>
      <c r="T122" s="2755"/>
      <c r="V122" s="2344"/>
      <c r="W122" s="2850"/>
      <c r="X122" s="2851"/>
    </row>
    <row r="123" spans="1:24" s="305" customFormat="1" ht="12.6" customHeight="1">
      <c r="B123" s="305" t="s">
        <v>1256</v>
      </c>
      <c r="G123" s="2754"/>
      <c r="H123" s="2755"/>
      <c r="J123" s="371"/>
      <c r="K123" s="371"/>
      <c r="L123" s="371"/>
      <c r="M123" s="371"/>
      <c r="N123" s="371"/>
      <c r="P123" s="371"/>
      <c r="Q123" s="371"/>
      <c r="S123" s="2754"/>
      <c r="T123" s="2755"/>
      <c r="V123" s="2344"/>
      <c r="W123" s="2850"/>
      <c r="X123" s="2851"/>
    </row>
    <row r="124" spans="1:24" s="305" customFormat="1" ht="12.6" customHeight="1">
      <c r="B124" s="305" t="s">
        <v>1257</v>
      </c>
      <c r="E124" s="901" t="s">
        <v>3590</v>
      </c>
      <c r="F124" s="481">
        <f>IF('Part VI-Revenues &amp; Expenses'!$O$62=0,0,G124/'Part VI-Revenues &amp; Expenses'!$O$62)</f>
        <v>990.26016260162601</v>
      </c>
      <c r="G124" s="2754">
        <v>121802</v>
      </c>
      <c r="H124" s="2755"/>
      <c r="J124" s="2743"/>
      <c r="K124" s="2744"/>
      <c r="L124" s="1580"/>
      <c r="M124" s="2743"/>
      <c r="N124" s="2744"/>
      <c r="P124" s="2743">
        <v>121802</v>
      </c>
      <c r="Q124" s="2744"/>
      <c r="S124" s="2754"/>
      <c r="T124" s="2755"/>
      <c r="V124" s="2344"/>
      <c r="W124" s="2850"/>
      <c r="X124" s="2851"/>
    </row>
    <row r="125" spans="1:24" s="305" customFormat="1" ht="12.6" customHeight="1" thickBot="1">
      <c r="A125" s="387" t="str">
        <f>IF(AND(G125&gt;0,OR(C125="",C125="&lt;Enter detailed description here; use Comments section if needed&gt;")),"X","")</f>
        <v/>
      </c>
      <c r="B125" s="305" t="s">
        <v>749</v>
      </c>
      <c r="C125" s="2852" t="s">
        <v>3738</v>
      </c>
      <c r="D125" s="2852"/>
      <c r="E125" s="2852"/>
      <c r="F125" s="2853"/>
      <c r="G125" s="2732"/>
      <c r="H125" s="2733"/>
      <c r="J125" s="2857"/>
      <c r="K125" s="2858"/>
      <c r="L125" s="1580"/>
      <c r="M125" s="2732"/>
      <c r="N125" s="2733"/>
      <c r="P125" s="2732"/>
      <c r="Q125" s="2733"/>
      <c r="S125" s="2732"/>
      <c r="T125" s="2733"/>
      <c r="U125" s="386" t="str">
        <f>IF(AND(G125&gt;0,OR(C125="",C125="&lt;Enter detailed description here; use Comments section if needed&gt;")),"NO DESCRIPTION PROVIDED - please enter detailed description in Other box at left; use Comments section below if needed.","")</f>
        <v/>
      </c>
      <c r="V125" s="2344"/>
      <c r="W125" s="2889"/>
      <c r="X125" s="2890"/>
    </row>
    <row r="126" spans="1:24" s="305" customFormat="1" ht="12.6" customHeight="1" thickTop="1">
      <c r="B126" s="372"/>
      <c r="F126" s="361" t="s">
        <v>193</v>
      </c>
      <c r="G126" s="2854">
        <f>SUM(G120:H125)</f>
        <v>642802</v>
      </c>
      <c r="H126" s="2855"/>
      <c r="J126" s="2854">
        <f>SUM(J124:K125)</f>
        <v>0</v>
      </c>
      <c r="K126" s="2855"/>
      <c r="L126" s="1580"/>
      <c r="M126" s="2854">
        <f>SUM(M124:N125)</f>
        <v>0</v>
      </c>
      <c r="N126" s="2855"/>
      <c r="P126" s="2854">
        <f>SUM(P124:Q125)</f>
        <v>121802</v>
      </c>
      <c r="Q126" s="2855"/>
      <c r="S126" s="2854">
        <f>SUM(S120:T125)</f>
        <v>521000</v>
      </c>
      <c r="T126" s="2855"/>
      <c r="V126" s="2346">
        <f>SUM(V120:V125)</f>
        <v>0</v>
      </c>
      <c r="W126" s="2900"/>
      <c r="X126" s="2901"/>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743"/>
      <c r="H128" s="2744"/>
      <c r="J128" s="2743"/>
      <c r="K128" s="2744"/>
      <c r="L128" s="362"/>
      <c r="M128" s="2743"/>
      <c r="N128" s="2744"/>
      <c r="P128" s="2743"/>
      <c r="Q128" s="2744"/>
      <c r="S128" s="2743"/>
      <c r="T128" s="2744"/>
      <c r="V128" s="2344"/>
      <c r="W128" s="2850"/>
      <c r="X128" s="2851"/>
    </row>
    <row r="129" spans="1:24" s="305" customFormat="1" ht="12.6" customHeight="1" thickBot="1">
      <c r="A129" s="387" t="str">
        <f>IF(AND(G129&gt;0,OR(C129="",C129="&lt;Enter detailed description here; use Comments section if needed&gt;")),"X","")</f>
        <v/>
      </c>
      <c r="B129" s="305" t="s">
        <v>749</v>
      </c>
      <c r="C129" s="2852" t="s">
        <v>3738</v>
      </c>
      <c r="D129" s="2852"/>
      <c r="E129" s="2852"/>
      <c r="F129" s="2853"/>
      <c r="G129" s="2732"/>
      <c r="H129" s="2733"/>
      <c r="J129" s="2732"/>
      <c r="K129" s="2733"/>
      <c r="L129" s="1580"/>
      <c r="M129" s="2732"/>
      <c r="N129" s="2733"/>
      <c r="P129" s="2732"/>
      <c r="Q129" s="2733"/>
      <c r="S129" s="2732"/>
      <c r="T129" s="2733"/>
      <c r="U129" s="386" t="str">
        <f>IF(AND(G129&gt;0,OR(C129="",C129="&lt;Enter detailed description here; use Comments section if needed&gt;")),"NO DESCRIPTION PROVIDED - please enter detailed description in Other box at left; use Comments section below if needed.","")</f>
        <v/>
      </c>
      <c r="V129" s="2344"/>
      <c r="W129" s="2889"/>
      <c r="X129" s="2890"/>
    </row>
    <row r="130" spans="1:24" s="305" customFormat="1" ht="12.6" customHeight="1" thickTop="1">
      <c r="C130" s="1559"/>
      <c r="F130" s="361" t="s">
        <v>193</v>
      </c>
      <c r="G130" s="2854">
        <f>SUM(G128:H129)</f>
        <v>0</v>
      </c>
      <c r="H130" s="2855"/>
      <c r="J130" s="2854">
        <f>SUM(J128:K129)</f>
        <v>0</v>
      </c>
      <c r="K130" s="2855"/>
      <c r="L130" s="1580"/>
      <c r="M130" s="2854">
        <f>SUM(M128:N129)</f>
        <v>0</v>
      </c>
      <c r="N130" s="2855"/>
      <c r="P130" s="2854">
        <f>SUM(P128:Q129)</f>
        <v>0</v>
      </c>
      <c r="Q130" s="2855"/>
      <c r="S130" s="2854">
        <f>SUM(S128:T129)</f>
        <v>0</v>
      </c>
      <c r="T130" s="2855"/>
      <c r="V130" s="2346">
        <f>SUM(V128:V129)</f>
        <v>0</v>
      </c>
      <c r="W130" s="2900"/>
      <c r="X130" s="2901"/>
    </row>
    <row r="131" spans="1:24" s="305" customFormat="1" ht="3" customHeight="1" thickBot="1">
      <c r="C131" s="1559"/>
      <c r="H131" s="368"/>
      <c r="I131" s="368"/>
      <c r="L131" s="1570"/>
      <c r="V131" s="1176"/>
      <c r="W131" s="2354"/>
      <c r="X131" s="2355"/>
    </row>
    <row r="132" spans="1:24" s="305" customFormat="1" ht="13.9" customHeight="1" thickBot="1">
      <c r="B132" s="311" t="s">
        <v>2786</v>
      </c>
      <c r="G132" s="2898">
        <f>G17+G23+G27+G33+G38+G41+G47+G64+G77+G83+G91+G105+G111+G118+G126+G130</f>
        <v>15349522</v>
      </c>
      <c r="H132" s="2899"/>
      <c r="J132" s="2898">
        <f>J17+J23+J27+J33+J38+J41+J47+J64+J77+J83+J91+J105+J111+J118+J126+J130</f>
        <v>0</v>
      </c>
      <c r="K132" s="2899"/>
      <c r="M132" s="2898">
        <f>M17+M23+M27+M33+M38+M41+M47+M64+M77+M83+M91+M105+M111+M118+M126+M130</f>
        <v>0</v>
      </c>
      <c r="N132" s="2899"/>
      <c r="P132" s="2898">
        <f>P17+P23+P27+P33+P38+P41+P47+P64+P77+P83+P91+P105+P111+P118+P126+P130</f>
        <v>11322032</v>
      </c>
      <c r="Q132" s="2899"/>
      <c r="S132" s="2898">
        <f>S17+S23+S27+S33+S38+S41+S47+S64+S77+S83+S91+S105+S111+S118+S126+S130</f>
        <v>4027490</v>
      </c>
      <c r="T132" s="2899"/>
      <c r="V132" s="2356">
        <f>V17+V23+V27+V33+V38+V41+V47+V64+V77+V83+V91+V105+V111+V118+V126+V130</f>
        <v>0</v>
      </c>
      <c r="W132" s="2902"/>
      <c r="X132" s="2901"/>
    </row>
    <row r="133" spans="1:24" s="305" customFormat="1" ht="3" customHeight="1">
      <c r="C133" s="1559"/>
      <c r="H133" s="368"/>
      <c r="I133" s="368"/>
      <c r="L133" s="1570"/>
      <c r="V133" s="1176"/>
    </row>
    <row r="134" spans="1:24" s="305" customFormat="1" ht="13.9" customHeight="1">
      <c r="B134" s="524" t="s">
        <v>2782</v>
      </c>
      <c r="C134" s="522"/>
      <c r="D134" s="2908">
        <f>IF('Part VI-Revenues &amp; Expenses'!$O$62=0,0,G132/'Part VI-Revenues &amp; Expenses'!$O$62)</f>
        <v>124792.86178861788</v>
      </c>
      <c r="E134" s="2908"/>
      <c r="F134" s="523" t="s">
        <v>2781</v>
      </c>
      <c r="G134" s="2909">
        <f>IF('Part I-Project Information'!$P$71=0,0,G132/'Part I-Project Information'!$P$71)</f>
        <v>185.85206441457802</v>
      </c>
      <c r="H134" s="2910"/>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2840" t="s">
        <v>273</v>
      </c>
      <c r="K137" s="2841"/>
      <c r="M137" s="2840" t="s">
        <v>101</v>
      </c>
      <c r="N137" s="2841"/>
      <c r="P137" s="2840" t="s">
        <v>274</v>
      </c>
      <c r="Q137" s="2841"/>
      <c r="V137" s="1176"/>
      <c r="W137" s="438" t="str">
        <f>B137</f>
        <v>TAX CREDIT CALCULATION - BASIS METHOD</v>
      </c>
    </row>
    <row r="138" spans="1:24" s="305" customFormat="1" ht="15" customHeight="1" thickBot="1">
      <c r="B138" s="311" t="s">
        <v>2060</v>
      </c>
      <c r="D138" s="1580"/>
      <c r="E138" s="1580"/>
      <c r="I138" s="375"/>
      <c r="J138" s="2842"/>
      <c r="K138" s="2843"/>
      <c r="L138" s="931"/>
      <c r="M138" s="2842"/>
      <c r="N138" s="2843"/>
      <c r="P138" s="2842"/>
      <c r="Q138" s="2843"/>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911"/>
      <c r="K140" s="2912"/>
      <c r="P140" s="2911"/>
      <c r="Q140" s="2912"/>
      <c r="V140" s="2344"/>
      <c r="W140" s="2850"/>
      <c r="X140" s="2851"/>
    </row>
    <row r="141" spans="1:24" s="305" customFormat="1" ht="13.9" customHeight="1">
      <c r="B141" s="1570" t="s">
        <v>2168</v>
      </c>
      <c r="D141" s="1570"/>
      <c r="E141" s="1570"/>
      <c r="F141" s="1570"/>
      <c r="G141" s="1570"/>
      <c r="H141" s="1570"/>
      <c r="I141" s="375"/>
      <c r="J141" s="2913"/>
      <c r="K141" s="2914"/>
      <c r="P141" s="2913"/>
      <c r="Q141" s="2914"/>
      <c r="V141" s="2344"/>
      <c r="W141" s="2850"/>
      <c r="X141" s="2851"/>
    </row>
    <row r="142" spans="1:24" s="305" customFormat="1" ht="13.9" customHeight="1">
      <c r="B142" s="1570" t="s">
        <v>1877</v>
      </c>
      <c r="D142" s="1570"/>
      <c r="E142" s="1570"/>
      <c r="I142" s="375"/>
      <c r="J142" s="2913"/>
      <c r="K142" s="2914"/>
      <c r="P142" s="2913"/>
      <c r="Q142" s="2914"/>
      <c r="V142" s="2344"/>
      <c r="W142" s="2850"/>
      <c r="X142" s="2851"/>
    </row>
    <row r="143" spans="1:24" s="305" customFormat="1" ht="13.9" customHeight="1">
      <c r="B143" s="1570" t="s">
        <v>1878</v>
      </c>
      <c r="D143" s="1570"/>
      <c r="E143" s="1570"/>
      <c r="I143" s="375"/>
      <c r="J143" s="2913"/>
      <c r="K143" s="2914"/>
      <c r="P143" s="2913"/>
      <c r="Q143" s="2914"/>
      <c r="V143" s="2344"/>
      <c r="W143" s="2850"/>
      <c r="X143" s="2851"/>
    </row>
    <row r="144" spans="1:24" s="305" customFormat="1" ht="13.9" customHeight="1">
      <c r="B144" s="1570" t="s">
        <v>256</v>
      </c>
      <c r="D144" s="1570"/>
      <c r="E144" s="1570"/>
      <c r="I144" s="375"/>
      <c r="J144" s="2913"/>
      <c r="K144" s="2914"/>
      <c r="P144" s="2913"/>
      <c r="Q144" s="2914"/>
      <c r="V144" s="2344"/>
      <c r="W144" s="2850"/>
      <c r="X144" s="2851"/>
    </row>
    <row r="145" spans="1:24" s="305" customFormat="1" ht="13.9" customHeight="1" thickBot="1">
      <c r="B145" s="1570" t="s">
        <v>1613</v>
      </c>
      <c r="C145" s="2915" t="s">
        <v>2431</v>
      </c>
      <c r="D145" s="2915"/>
      <c r="E145" s="2915"/>
      <c r="F145" s="2915"/>
      <c r="G145" s="2915"/>
      <c r="H145" s="2915"/>
      <c r="I145" s="2916"/>
      <c r="J145" s="2896"/>
      <c r="K145" s="2897"/>
      <c r="P145" s="2896"/>
      <c r="Q145" s="2897"/>
      <c r="V145" s="2344"/>
      <c r="W145" s="2889"/>
      <c r="X145" s="2890"/>
    </row>
    <row r="146" spans="1:24" s="305" customFormat="1" ht="13.9" customHeight="1" thickBot="1">
      <c r="B146" s="316" t="s">
        <v>1879</v>
      </c>
      <c r="C146" s="319"/>
      <c r="J146" s="2817">
        <f>SUM(J140:K145)</f>
        <v>0</v>
      </c>
      <c r="K146" s="2818"/>
      <c r="P146" s="2817">
        <f>SUM(P140:Q145)</f>
        <v>0</v>
      </c>
      <c r="Q146" s="2818"/>
      <c r="V146" s="2346">
        <f>SUM(V140:V145)</f>
        <v>0</v>
      </c>
      <c r="W146" s="2900"/>
      <c r="X146" s="2901"/>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2903">
        <f>J132</f>
        <v>0</v>
      </c>
      <c r="K149" s="2904"/>
      <c r="M149" s="2905">
        <f>M132</f>
        <v>0</v>
      </c>
      <c r="N149" s="2906"/>
      <c r="P149" s="2903">
        <f>P132</f>
        <v>11322032</v>
      </c>
      <c r="Q149" s="2904"/>
      <c r="V149" s="2344"/>
      <c r="W149" s="2850"/>
      <c r="X149" s="2851"/>
    </row>
    <row r="150" spans="1:24" s="305" customFormat="1" ht="13.9" customHeight="1">
      <c r="B150" s="305" t="s">
        <v>2236</v>
      </c>
      <c r="J150" s="2917">
        <f>J146</f>
        <v>0</v>
      </c>
      <c r="K150" s="2918"/>
      <c r="M150" s="2919"/>
      <c r="N150" s="2919"/>
      <c r="P150" s="2917">
        <f>P146</f>
        <v>0</v>
      </c>
      <c r="Q150" s="2918"/>
      <c r="V150" s="2344"/>
      <c r="W150" s="2850"/>
      <c r="X150" s="2851"/>
    </row>
    <row r="151" spans="1:24" s="305" customFormat="1" ht="13.9" customHeight="1">
      <c r="B151" s="305" t="s">
        <v>2237</v>
      </c>
      <c r="J151" s="2917">
        <f>J149-J150</f>
        <v>0</v>
      </c>
      <c r="K151" s="2918"/>
      <c r="M151" s="2917">
        <f>M149</f>
        <v>0</v>
      </c>
      <c r="N151" s="2918"/>
      <c r="P151" s="2917">
        <f>P149-P150</f>
        <v>11322032</v>
      </c>
      <c r="Q151" s="2918"/>
      <c r="V151" s="2344"/>
      <c r="W151" s="2850"/>
      <c r="X151" s="2851"/>
    </row>
    <row r="152" spans="1:24" s="305" customFormat="1" ht="13.9" customHeight="1">
      <c r="B152" s="305" t="s">
        <v>1497</v>
      </c>
      <c r="G152" s="1561" t="s">
        <v>1727</v>
      </c>
      <c r="H152" s="2448" t="s">
        <v>4594</v>
      </c>
      <c r="I152" s="2449"/>
      <c r="J152" s="2920"/>
      <c r="K152" s="2921"/>
      <c r="M152" s="2922"/>
      <c r="N152" s="2922"/>
      <c r="P152" s="2920">
        <v>1.3</v>
      </c>
      <c r="Q152" s="2921"/>
      <c r="V152" s="2344"/>
      <c r="W152" s="2850"/>
      <c r="X152" s="2851"/>
    </row>
    <row r="153" spans="1:24" s="305" customFormat="1" ht="13.9" customHeight="1">
      <c r="B153" s="305" t="s">
        <v>2070</v>
      </c>
      <c r="J153" s="2917">
        <f>J151*J152</f>
        <v>0</v>
      </c>
      <c r="K153" s="2918"/>
      <c r="M153" s="2917">
        <f>+M151</f>
        <v>0</v>
      </c>
      <c r="N153" s="2918"/>
      <c r="P153" s="2917">
        <f>P151*P152</f>
        <v>14718641.6</v>
      </c>
      <c r="Q153" s="2918"/>
      <c r="V153" s="2344"/>
      <c r="W153" s="2850"/>
      <c r="X153" s="2851"/>
    </row>
    <row r="154" spans="1:24" s="305" customFormat="1" ht="13.9" customHeight="1">
      <c r="B154" s="305" t="s">
        <v>2558</v>
      </c>
      <c r="J154" s="2923">
        <f>MIN('Part VI-Revenues &amp; Expenses'!$O$58/'Part VI-Revenues &amp; Expenses'!$O$60,'Part VI-Revenues &amp; Expenses'!$O$115/'Part VI-Revenues &amp; Expenses'!$O$117)</f>
        <v>1</v>
      </c>
      <c r="K154" s="2924"/>
      <c r="M154" s="2923">
        <f>MIN('Part VI-Revenues &amp; Expenses'!$O$58/'Part VI-Revenues &amp; Expenses'!$O$60,'Part VI-Revenues &amp; Expenses'!$O$115/'Part VI-Revenues &amp; Expenses'!$O$117)</f>
        <v>1</v>
      </c>
      <c r="N154" s="2924"/>
      <c r="P154" s="2923">
        <f>MIN('Part VI-Revenues &amp; Expenses'!$O$58/'Part VI-Revenues &amp; Expenses'!$O$60,'Part VI-Revenues &amp; Expenses'!$O$115/'Part VI-Revenues &amp; Expenses'!$O$117)</f>
        <v>1</v>
      </c>
      <c r="Q154" s="2924"/>
      <c r="V154" s="2344"/>
      <c r="W154" s="2850"/>
      <c r="X154" s="2851"/>
    </row>
    <row r="155" spans="1:24" s="305" customFormat="1" ht="13.9" customHeight="1">
      <c r="B155" s="305" t="s">
        <v>2061</v>
      </c>
      <c r="J155" s="2917">
        <f>J153*J154</f>
        <v>0</v>
      </c>
      <c r="K155" s="2918"/>
      <c r="M155" s="2917">
        <f>M153*M154</f>
        <v>0</v>
      </c>
      <c r="N155" s="2918"/>
      <c r="P155" s="2917">
        <f>P153*P154</f>
        <v>14718641.6</v>
      </c>
      <c r="Q155" s="2918"/>
      <c r="V155" s="2344"/>
      <c r="W155" s="2850"/>
      <c r="X155" s="2851"/>
    </row>
    <row r="156" spans="1:24" s="305" customFormat="1" ht="13.9" customHeight="1">
      <c r="B156" s="305" t="s">
        <v>2062</v>
      </c>
      <c r="J156" s="2920"/>
      <c r="K156" s="2921"/>
      <c r="M156" s="2920"/>
      <c r="N156" s="2921"/>
      <c r="P156" s="2920">
        <v>0.09</v>
      </c>
      <c r="Q156" s="2921"/>
      <c r="V156" s="2344"/>
      <c r="W156" s="2850"/>
      <c r="X156" s="2851"/>
    </row>
    <row r="157" spans="1:24" s="305" customFormat="1" ht="13.9" customHeight="1" thickBot="1">
      <c r="B157" s="305" t="s">
        <v>2559</v>
      </c>
      <c r="J157" s="2925">
        <f>J155*J156</f>
        <v>0</v>
      </c>
      <c r="K157" s="2926"/>
      <c r="M157" s="2925">
        <f>M155*M156</f>
        <v>0</v>
      </c>
      <c r="N157" s="2926"/>
      <c r="P157" s="2925">
        <f>P155*P156</f>
        <v>1324677.7439999999</v>
      </c>
      <c r="Q157" s="2926"/>
      <c r="V157" s="2357"/>
      <c r="W157" s="2889"/>
      <c r="X157" s="2890"/>
    </row>
    <row r="158" spans="1:24" s="305" customFormat="1" ht="13.9" customHeight="1" thickBot="1">
      <c r="B158" s="307" t="s">
        <v>1436</v>
      </c>
      <c r="J158" s="2817">
        <f>J157+M157+P157</f>
        <v>1324677.7439999999</v>
      </c>
      <c r="K158" s="2907"/>
      <c r="L158" s="2907"/>
      <c r="M158" s="2907"/>
      <c r="N158" s="2907"/>
      <c r="O158" s="2907"/>
      <c r="P158" s="2907"/>
      <c r="Q158" s="2818"/>
      <c r="V158" s="2346"/>
      <c r="W158" s="2351"/>
      <c r="X158" s="235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2958" t="str">
        <f>IF(J163&gt;J162,"TDC exceeds QAP PUCL!","")</f>
        <v/>
      </c>
      <c r="H162" s="2958"/>
      <c r="I162" s="2959"/>
      <c r="J162" s="2954">
        <f>'Part VIII-Threshold Criteria'!$P$63</f>
        <v>15349522</v>
      </c>
      <c r="K162" s="2955"/>
      <c r="L162" s="2956"/>
      <c r="M162" s="2935" t="s">
        <v>2764</v>
      </c>
      <c r="N162" s="2960"/>
      <c r="O162" s="2960"/>
      <c r="P162" s="2960"/>
      <c r="Q162" s="2960"/>
      <c r="R162" s="2936"/>
      <c r="S162" s="2935" t="s">
        <v>3700</v>
      </c>
      <c r="T162" s="2936"/>
      <c r="V162" s="2344"/>
      <c r="W162" s="2850"/>
      <c r="X162" s="2851"/>
    </row>
    <row r="163" spans="1:24" s="305" customFormat="1" ht="13.9" customHeight="1">
      <c r="B163" s="305" t="s">
        <v>2766</v>
      </c>
      <c r="J163" s="2939">
        <v>15349522</v>
      </c>
      <c r="K163" s="2940"/>
      <c r="L163" s="2941"/>
      <c r="M163" s="2937"/>
      <c r="N163" s="2961"/>
      <c r="O163" s="2961"/>
      <c r="P163" s="2961"/>
      <c r="Q163" s="2961"/>
      <c r="R163" s="2938"/>
      <c r="S163" s="2937"/>
      <c r="T163" s="2938"/>
      <c r="V163" s="2344"/>
      <c r="W163" s="2850"/>
      <c r="X163" s="2851"/>
    </row>
    <row r="164" spans="1:24" s="305" customFormat="1" ht="13.9" customHeight="1">
      <c r="B164" s="305" t="s">
        <v>265</v>
      </c>
      <c r="J164" s="2917">
        <f>'Part III-Sources of Funds'!$I$58-'Part III-Sources of Funds'!$I$41-'Part III-Sources of Funds'!$I$42-'Part III-Sources of Funds'!$I$49-'Part III-Sources of Funds'!$I$50</f>
        <v>2000000</v>
      </c>
      <c r="K164" s="2919"/>
      <c r="L164" s="2942"/>
      <c r="M164" s="2937"/>
      <c r="N164" s="2961"/>
      <c r="O164" s="2961"/>
      <c r="P164" s="2961"/>
      <c r="Q164" s="2961"/>
      <c r="R164" s="2938"/>
      <c r="S164" s="2937"/>
      <c r="T164" s="2938"/>
      <c r="V164" s="2344"/>
      <c r="W164" s="2850"/>
      <c r="X164" s="2851"/>
    </row>
    <row r="165" spans="1:24" s="305" customFormat="1" ht="13.9" customHeight="1" thickBot="1">
      <c r="B165" s="305" t="s">
        <v>2248</v>
      </c>
      <c r="J165" s="2917">
        <f>+J163-J164</f>
        <v>13349522</v>
      </c>
      <c r="K165" s="2919"/>
      <c r="L165" s="2942"/>
      <c r="M165" s="2943" t="s">
        <v>2765</v>
      </c>
      <c r="N165" s="2944"/>
      <c r="O165" s="2945">
        <f>'Part III-Sources of Funds'!$I$41</f>
        <v>0</v>
      </c>
      <c r="P165" s="2945"/>
      <c r="Q165" s="2945"/>
      <c r="R165" s="2946"/>
      <c r="S165" s="424" t="s">
        <v>1675</v>
      </c>
      <c r="T165" s="2358"/>
      <c r="V165" s="2344"/>
      <c r="W165" s="2850"/>
      <c r="X165" s="2851"/>
    </row>
    <row r="166" spans="1:24" s="305" customFormat="1" ht="13.9" customHeight="1">
      <c r="B166" s="305" t="s">
        <v>1298</v>
      </c>
      <c r="J166" s="2947" t="str">
        <f>"/ 10"</f>
        <v>/ 10</v>
      </c>
      <c r="K166" s="2947"/>
      <c r="L166" s="2947"/>
      <c r="M166" s="1570"/>
      <c r="N166" s="494"/>
      <c r="O166" s="494"/>
      <c r="P166" s="494"/>
      <c r="Q166" s="494"/>
      <c r="R166" s="494"/>
      <c r="V166" s="1176"/>
      <c r="W166" s="2850"/>
      <c r="X166" s="2851"/>
    </row>
    <row r="167" spans="1:24" s="305" customFormat="1" ht="13.9" customHeight="1">
      <c r="B167" s="305" t="s">
        <v>1299</v>
      </c>
      <c r="J167" s="2917">
        <f>J165/10</f>
        <v>1334952.2</v>
      </c>
      <c r="K167" s="2919"/>
      <c r="L167" s="2918"/>
      <c r="M167" s="324"/>
      <c r="N167" s="2513" t="s">
        <v>1300</v>
      </c>
      <c r="O167" s="2513"/>
      <c r="Q167" s="2513" t="s">
        <v>1812</v>
      </c>
      <c r="R167" s="2513"/>
      <c r="V167" s="2344"/>
      <c r="W167" s="2850"/>
      <c r="X167" s="2851"/>
    </row>
    <row r="168" spans="1:24" s="305" customFormat="1" ht="13.9" customHeight="1" thickBot="1">
      <c r="B168" s="305" t="s">
        <v>1496</v>
      </c>
      <c r="J168" s="2927">
        <f>N168+Q168</f>
        <v>1.42</v>
      </c>
      <c r="K168" s="2928"/>
      <c r="L168" s="2929"/>
      <c r="M168" s="1561" t="s">
        <v>1301</v>
      </c>
      <c r="N168" s="2930">
        <v>0.88</v>
      </c>
      <c r="O168" s="2931"/>
      <c r="P168" s="1561" t="s">
        <v>618</v>
      </c>
      <c r="Q168" s="2930">
        <v>0.54</v>
      </c>
      <c r="R168" s="2931"/>
      <c r="V168" s="2344"/>
      <c r="W168" s="2850"/>
      <c r="X168" s="2851"/>
    </row>
    <row r="169" spans="1:24" s="305" customFormat="1" ht="13.9" customHeight="1" thickBot="1">
      <c r="B169" s="307" t="s">
        <v>1437</v>
      </c>
      <c r="J169" s="2817">
        <f>IF(J168=0,"",J167/J168)</f>
        <v>940107.18309859151</v>
      </c>
      <c r="K169" s="2907"/>
      <c r="L169" s="2818"/>
      <c r="M169" s="324"/>
      <c r="N169" s="1570"/>
      <c r="O169" s="1570"/>
      <c r="V169" s="2344"/>
      <c r="W169" s="2850"/>
      <c r="X169" s="2851"/>
    </row>
    <row r="170" spans="1:24" s="305" customFormat="1" ht="6" customHeight="1">
      <c r="J170" s="378"/>
      <c r="K170" s="378"/>
      <c r="L170" s="378"/>
      <c r="M170" s="324"/>
      <c r="N170" s="1571"/>
      <c r="O170" s="1571"/>
      <c r="V170" s="1176"/>
      <c r="W170" s="2850"/>
      <c r="X170" s="2851"/>
    </row>
    <row r="171" spans="1:24" s="305" customFormat="1" ht="16.149999999999999" customHeight="1">
      <c r="B171" s="307" t="s">
        <v>2920</v>
      </c>
      <c r="J171" s="293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940107.18309859151</v>
      </c>
      <c r="K171" s="2933"/>
      <c r="L171" s="2934"/>
      <c r="M171" s="324"/>
      <c r="N171" s="1571"/>
      <c r="O171" s="1571"/>
      <c r="V171" s="2344"/>
      <c r="W171" s="2850"/>
      <c r="X171" s="2851"/>
    </row>
    <row r="172" spans="1:24" s="305" customFormat="1" ht="3" customHeight="1">
      <c r="J172" s="378"/>
      <c r="K172" s="378"/>
      <c r="L172" s="378"/>
      <c r="M172" s="324"/>
      <c r="N172" s="1571"/>
      <c r="O172" s="1571"/>
      <c r="V172" s="1176"/>
      <c r="W172" s="2354"/>
      <c r="X172" s="2355"/>
    </row>
    <row r="173" spans="1:24" s="305" customFormat="1" ht="16.149999999999999" customHeight="1">
      <c r="B173" s="307" t="s">
        <v>351</v>
      </c>
      <c r="J173" s="2948">
        <v>940000</v>
      </c>
      <c r="K173" s="2949"/>
      <c r="L173" s="2950"/>
      <c r="M173" s="379" t="str">
        <f>IF(J171=0,"",IF(J173&gt;J171,"ALLOCATION CANNOT EXCEED MAXIMUM - REVISE REQUEST!",""))</f>
        <v/>
      </c>
      <c r="N173" s="1571"/>
      <c r="O173" s="1571"/>
      <c r="V173" s="2344"/>
      <c r="W173" s="2850"/>
      <c r="X173" s="2851"/>
    </row>
    <row r="174" spans="1:24" s="305" customFormat="1" ht="3" customHeight="1">
      <c r="J174" s="378"/>
      <c r="K174" s="378"/>
      <c r="L174" s="378"/>
      <c r="M174" s="324"/>
      <c r="N174" s="1571"/>
      <c r="O174" s="1571"/>
      <c r="V174" s="1176"/>
      <c r="W174" s="2354"/>
      <c r="X174" s="2355"/>
    </row>
    <row r="175" spans="1:24" s="305" customFormat="1" ht="16.149999999999999" customHeight="1">
      <c r="A175" s="438" t="s">
        <v>1805</v>
      </c>
      <c r="B175" s="438" t="s">
        <v>2637</v>
      </c>
      <c r="D175" s="324"/>
      <c r="E175" s="324"/>
      <c r="F175" s="310"/>
      <c r="J175" s="2951">
        <f>IF(J173="",0,+MIN(J171,J173))</f>
        <v>940000</v>
      </c>
      <c r="K175" s="2952"/>
      <c r="L175" s="2953"/>
      <c r="N175" s="2359"/>
      <c r="O175" s="2359"/>
      <c r="P175" s="2359"/>
      <c r="Q175" s="2359"/>
      <c r="R175" s="2359"/>
      <c r="S175" s="2359"/>
      <c r="T175" s="2359"/>
      <c r="V175" s="2344"/>
      <c r="W175" s="2850"/>
      <c r="X175" s="2851"/>
    </row>
    <row r="176" spans="1:24" ht="3" customHeight="1"/>
    <row r="177" spans="1:24" ht="6" customHeight="1"/>
    <row r="178" spans="1:24" ht="12" customHeight="1">
      <c r="A178" s="307" t="s">
        <v>1807</v>
      </c>
      <c r="B178" s="333" t="s">
        <v>577</v>
      </c>
      <c r="N178" s="307" t="s">
        <v>535</v>
      </c>
      <c r="O178" s="307" t="s">
        <v>80</v>
      </c>
    </row>
    <row r="179" spans="1:24" ht="352.5" customHeight="1">
      <c r="A179" s="2820" t="s">
        <v>4665</v>
      </c>
      <c r="B179" s="2820"/>
      <c r="C179" s="2820"/>
      <c r="D179" s="2820"/>
      <c r="E179" s="2820"/>
      <c r="F179" s="2820"/>
      <c r="G179" s="2820"/>
      <c r="H179" s="2820"/>
      <c r="I179" s="2820"/>
      <c r="J179" s="2820"/>
      <c r="K179" s="2820"/>
      <c r="L179" s="2820"/>
      <c r="M179" s="2820"/>
      <c r="N179" s="2957"/>
      <c r="O179" s="2957"/>
      <c r="P179" s="2957"/>
      <c r="Q179" s="2957"/>
      <c r="R179" s="2957"/>
      <c r="S179" s="2957"/>
      <c r="T179" s="2957"/>
      <c r="V179" s="1035"/>
      <c r="W179" s="2811" t="s">
        <v>2710</v>
      </c>
      <c r="X179" s="2811"/>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lNOABb0tbcsXHHJ2eZ0h9qz5vr70ZAXYHlUsFn8vtek5XNRWE02CHPyGKj6BOsKae3gGdj1BWWO7psnSibDd8g==" saltValue="ZJwZrDYXCx5SnZ/R4QFr+w=="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J35:K37">
    <cfRule type="cellIs" dxfId="92" priority="5" operator="greaterThan">
      <formula>$G$35</formula>
    </cfRule>
  </conditionalFormatting>
  <conditionalFormatting sqref="M36:N37 P36:Q37">
    <cfRule type="cellIs" dxfId="91" priority="4" operator="greaterThan">
      <formula>$G$37</formula>
    </cfRule>
  </conditionalFormatting>
  <conditionalFormatting sqref="G35">
    <cfRule type="cellIs" dxfId="90" priority="1" stopIfTrue="1" operator="greaterThan">
      <formula>$E35</formula>
    </cfRule>
  </conditionalFormatting>
  <conditionalFormatting sqref="G36">
    <cfRule type="cellIs" dxfId="89" priority="2" stopIfTrue="1" operator="greaterThan">
      <formula>$E$36</formula>
    </cfRule>
  </conditionalFormatting>
  <conditionalFormatting sqref="G37">
    <cfRule type="cellIs" dxfId="88"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63" t="str">
        <f>CONCATENATE("PART FOUR (b) -  OTHER COSTS","  -  ",'Part I-Project Information'!$O$6," - ",'Part I-Project Information'!$F$34,"  -  ",'Part I-Project Information'!$F$38,"  -  ",'Part I-Project Information'!$J$39,",  ","County")</f>
        <v>PART FOUR (b) -  OTHER COSTS  -  2018-017 - Heritage Village at West Lake  -  Atlanta  -  Fulton,  County</v>
      </c>
      <c r="B1" s="2964"/>
      <c r="C1" s="2964"/>
      <c r="D1" s="2964"/>
      <c r="E1" s="2964"/>
      <c r="F1" s="2964"/>
      <c r="G1" s="2964"/>
      <c r="H1" s="2964"/>
      <c r="I1" s="1008"/>
      <c r="J1" s="1008"/>
      <c r="K1" s="1008"/>
      <c r="L1" s="1008"/>
      <c r="M1" s="1008"/>
      <c r="N1" s="1008"/>
    </row>
    <row r="2" spans="1:14" ht="9" customHeight="1"/>
    <row r="3" spans="1:14" ht="57" customHeight="1">
      <c r="A3" s="2965" t="s">
        <v>3740</v>
      </c>
      <c r="B3" s="2966"/>
      <c r="C3" s="2966"/>
      <c r="D3" s="2966"/>
      <c r="E3" s="2966"/>
      <c r="F3" s="2966"/>
      <c r="G3" s="2966"/>
      <c r="H3" s="2967"/>
    </row>
    <row r="4" spans="1:14" ht="6" customHeight="1"/>
    <row r="5" spans="1:14" ht="38.25" customHeight="1">
      <c r="A5" s="2968" t="s">
        <v>3859</v>
      </c>
      <c r="B5" s="2968"/>
      <c r="C5" s="2968"/>
      <c r="D5" s="2968"/>
      <c r="F5" s="1009" t="s">
        <v>3731</v>
      </c>
      <c r="G5" s="592"/>
      <c r="H5" s="1009" t="s">
        <v>3732</v>
      </c>
    </row>
    <row r="6" spans="1:14" ht="6.75" customHeight="1">
      <c r="A6" s="592"/>
      <c r="B6" s="592"/>
      <c r="C6" s="592"/>
      <c r="D6" s="592"/>
    </row>
    <row r="7" spans="1:14" s="2342" customFormat="1" ht="4.5" customHeight="1">
      <c r="A7" s="1010"/>
      <c r="B7" s="1010"/>
      <c r="C7" s="1010"/>
      <c r="D7" s="1010"/>
      <c r="E7" s="1010"/>
      <c r="F7" s="1010"/>
      <c r="G7" s="1010"/>
    </row>
    <row r="8" spans="1:14" s="2342" customFormat="1">
      <c r="A8" s="1019" t="s">
        <v>103</v>
      </c>
      <c r="B8" s="1011"/>
      <c r="C8" s="1011"/>
      <c r="D8" s="1011"/>
      <c r="E8" s="1011"/>
      <c r="F8" s="1011"/>
      <c r="G8" s="1011"/>
      <c r="H8" s="1011"/>
    </row>
    <row r="9" spans="1:14" s="2342" customFormat="1" ht="41.25" customHeight="1">
      <c r="A9" s="2969" t="str">
        <f>'Part IV-A-Uses of Funds'!$C$14</f>
        <v>&lt;&lt; Enter description here; provide detail &amp; justification in tab Part IV-b &gt;&gt;</v>
      </c>
      <c r="B9" s="2970"/>
      <c r="C9" s="2970"/>
      <c r="D9" s="2971"/>
      <c r="F9" s="2975"/>
      <c r="G9" s="1011"/>
      <c r="H9" s="2975"/>
    </row>
    <row r="10" spans="1:14" s="2342" customFormat="1" ht="41.25" customHeight="1">
      <c r="A10" s="2972"/>
      <c r="B10" s="2973"/>
      <c r="C10" s="2973"/>
      <c r="D10" s="2974"/>
      <c r="F10" s="2976"/>
      <c r="G10" s="1011"/>
      <c r="H10" s="2976"/>
    </row>
    <row r="11" spans="1:14" s="2342" customFormat="1" ht="4.5" customHeight="1">
      <c r="F11" s="2976"/>
      <c r="G11" s="1011"/>
      <c r="H11" s="2976"/>
    </row>
    <row r="12" spans="1:14" s="2342" customFormat="1" ht="15" customHeight="1">
      <c r="A12" s="1018" t="s">
        <v>3734</v>
      </c>
      <c r="B12" s="1017">
        <f>'Part IV-A-Uses of Funds'!$G$14</f>
        <v>0</v>
      </c>
      <c r="C12" s="1018" t="s">
        <v>1803</v>
      </c>
      <c r="D12" s="1017">
        <f>'Part IV-A-Uses of Funds'!$J$14+'Part IV-A-Uses of Funds'!$M$14+'Part IV-A-Uses of Funds'!$P$14</f>
        <v>0</v>
      </c>
      <c r="F12" s="2976"/>
      <c r="G12" s="1011"/>
      <c r="H12" s="2976"/>
    </row>
    <row r="13" spans="1:14" s="2342" customFormat="1" ht="6" customHeight="1">
      <c r="A13" s="1011"/>
      <c r="B13" s="1012"/>
      <c r="C13" s="1011"/>
      <c r="D13" s="1011"/>
      <c r="F13" s="2976"/>
      <c r="G13" s="1013"/>
      <c r="H13" s="2976"/>
    </row>
    <row r="14" spans="1:14" s="2342" customFormat="1" ht="41.25" customHeight="1">
      <c r="A14" s="2969" t="str">
        <f>'Part IV-A-Uses of Funds'!$C$15</f>
        <v>&lt;&lt; Enter description here; provide detail &amp; justification in tab Part IV-b &gt;&gt;</v>
      </c>
      <c r="B14" s="2970"/>
      <c r="C14" s="2970"/>
      <c r="D14" s="2971"/>
      <c r="F14" s="2976"/>
      <c r="G14" s="1011"/>
      <c r="H14" s="2976"/>
    </row>
    <row r="15" spans="1:14" s="2342" customFormat="1" ht="41.25" customHeight="1">
      <c r="A15" s="2972"/>
      <c r="B15" s="2973"/>
      <c r="C15" s="2973"/>
      <c r="D15" s="2974"/>
      <c r="F15" s="2976"/>
      <c r="G15" s="1011"/>
      <c r="H15" s="2976"/>
    </row>
    <row r="16" spans="1:14" s="2342" customFormat="1" ht="4.5" customHeight="1">
      <c r="F16" s="2976"/>
      <c r="G16" s="1011"/>
      <c r="H16" s="2976"/>
    </row>
    <row r="17" spans="1:8" s="2342" customFormat="1" ht="15" customHeight="1">
      <c r="A17" s="1018" t="s">
        <v>3734</v>
      </c>
      <c r="B17" s="1017">
        <f>'Part IV-A-Uses of Funds'!$G$15</f>
        <v>0</v>
      </c>
      <c r="C17" s="1018" t="s">
        <v>1803</v>
      </c>
      <c r="D17" s="1017">
        <f>'Part IV-A-Uses of Funds'!$J$15+'Part IV-A-Uses of Funds'!$M$15+'Part IV-A-Uses of Funds'!$P$15</f>
        <v>0</v>
      </c>
      <c r="F17" s="2976"/>
      <c r="G17" s="1011"/>
      <c r="H17" s="2976"/>
    </row>
    <row r="18" spans="1:8" s="2342" customFormat="1" ht="6" customHeight="1">
      <c r="A18" s="1011"/>
      <c r="B18" s="1012"/>
      <c r="C18" s="1011"/>
      <c r="D18" s="1011"/>
      <c r="F18" s="2976"/>
      <c r="G18" s="1013"/>
      <c r="H18" s="2976"/>
    </row>
    <row r="19" spans="1:8" s="2342" customFormat="1" ht="41.25" customHeight="1">
      <c r="A19" s="2969" t="str">
        <f>'Part IV-A-Uses of Funds'!$C$16</f>
        <v>&lt;&lt; Enter description here; provide detail &amp; justification in tab Part IV-b &gt;&gt;</v>
      </c>
      <c r="B19" s="2970"/>
      <c r="C19" s="2970"/>
      <c r="D19" s="2971"/>
      <c r="F19" s="2976"/>
      <c r="G19" s="1011"/>
      <c r="H19" s="2976"/>
    </row>
    <row r="20" spans="1:8" s="2342" customFormat="1" ht="41.25" customHeight="1">
      <c r="A20" s="2972"/>
      <c r="B20" s="2973"/>
      <c r="C20" s="2973"/>
      <c r="D20" s="2974"/>
      <c r="F20" s="2976"/>
      <c r="G20" s="1011"/>
      <c r="H20" s="2976"/>
    </row>
    <row r="21" spans="1:8" s="2342" customFormat="1" ht="4.5" customHeight="1">
      <c r="F21" s="2976"/>
      <c r="G21" s="1011"/>
      <c r="H21" s="2976"/>
    </row>
    <row r="22" spans="1:8" s="2342" customFormat="1" ht="15" customHeight="1">
      <c r="A22" s="1018" t="s">
        <v>3734</v>
      </c>
      <c r="B22" s="1017">
        <f>'Part IV-A-Uses of Funds'!$G$16</f>
        <v>0</v>
      </c>
      <c r="C22" s="1018" t="s">
        <v>1803</v>
      </c>
      <c r="D22" s="1017">
        <f>'Part IV-A-Uses of Funds'!$J$16+'Part IV-A-Uses of Funds'!$M$16+'Part IV-A-Uses of Funds'!$P$16</f>
        <v>0</v>
      </c>
      <c r="F22" s="2976"/>
      <c r="G22" s="1011"/>
      <c r="H22" s="2976"/>
    </row>
    <row r="23" spans="1:8" s="2342" customFormat="1" ht="6" customHeight="1">
      <c r="A23" s="1011"/>
      <c r="B23" s="1012"/>
      <c r="C23" s="1011"/>
      <c r="D23" s="1011"/>
      <c r="F23" s="2977"/>
      <c r="G23" s="1013"/>
      <c r="H23" s="2977"/>
    </row>
    <row r="24" spans="1:8" s="2342" customFormat="1">
      <c r="A24" s="1019" t="s">
        <v>3733</v>
      </c>
      <c r="B24" s="1011"/>
      <c r="C24" s="1011"/>
      <c r="D24" s="1011"/>
      <c r="E24" s="1011"/>
      <c r="F24" s="1011"/>
      <c r="G24" s="1011"/>
    </row>
    <row r="25" spans="1:8" s="2342" customFormat="1" ht="41.25" customHeight="1">
      <c r="A25" s="2969" t="str">
        <f>'Part IV-A-Uses of Funds'!$C$41</f>
        <v>&lt;&lt; Enter description here; provide detail &amp; justification in tab Part IV-b &gt;&gt;</v>
      </c>
      <c r="B25" s="2970"/>
      <c r="C25" s="2970"/>
      <c r="D25" s="2971"/>
      <c r="E25" s="1011"/>
      <c r="F25" s="2978"/>
      <c r="G25" s="1011"/>
      <c r="H25" s="2978"/>
    </row>
    <row r="26" spans="1:8" s="2342" customFormat="1" ht="41.25" customHeight="1">
      <c r="A26" s="2972"/>
      <c r="B26" s="2973"/>
      <c r="C26" s="2973"/>
      <c r="D26" s="2974"/>
      <c r="E26" s="1011"/>
      <c r="F26" s="2979"/>
      <c r="G26" s="1011"/>
      <c r="H26" s="2979"/>
    </row>
    <row r="27" spans="1:8" s="2342" customFormat="1" ht="4.5" customHeight="1">
      <c r="A27" s="1011"/>
      <c r="B27" s="1011"/>
      <c r="C27" s="1011"/>
      <c r="D27" s="1011"/>
      <c r="E27" s="1011"/>
      <c r="F27" s="2979"/>
      <c r="G27" s="1011"/>
      <c r="H27" s="2979"/>
    </row>
    <row r="28" spans="1:8" s="2342" customFormat="1" ht="25.5">
      <c r="A28" s="1018" t="s">
        <v>3734</v>
      </c>
      <c r="B28" s="1017">
        <f>'Part IV-A-Uses of Funds'!$G$41</f>
        <v>0</v>
      </c>
      <c r="C28" s="1018" t="s">
        <v>1803</v>
      </c>
      <c r="D28" s="1017">
        <f>'Part IV-A-Uses of Funds'!$J$41+'Part IV-A-Uses of Funds'!$M$41+'Part IV-A-Uses of Funds'!$P$41</f>
        <v>0</v>
      </c>
      <c r="E28" s="1011"/>
      <c r="F28" s="2979"/>
      <c r="G28" s="1011"/>
      <c r="H28" s="2979"/>
    </row>
    <row r="29" spans="1:8" s="2342" customFormat="1" ht="6" customHeight="1">
      <c r="A29" s="1011"/>
      <c r="B29" s="1012"/>
      <c r="C29" s="1011"/>
      <c r="D29" s="1011"/>
      <c r="E29" s="1011"/>
      <c r="F29" s="2980"/>
      <c r="G29" s="1013"/>
      <c r="H29" s="2980"/>
    </row>
    <row r="30" spans="1:8" s="2342" customFormat="1">
      <c r="A30" s="1019" t="s">
        <v>730</v>
      </c>
      <c r="B30" s="1011"/>
      <c r="C30" s="1011"/>
      <c r="D30" s="1011"/>
      <c r="E30" s="1011"/>
      <c r="F30" s="1011"/>
      <c r="G30" s="1011"/>
    </row>
    <row r="31" spans="1:8" s="2342" customFormat="1" ht="41.25" customHeight="1">
      <c r="A31" s="2981">
        <f>'Part IV-A-Uses of Funds'!$C$62</f>
        <v>0</v>
      </c>
      <c r="B31" s="2982"/>
      <c r="C31" s="2982"/>
      <c r="D31" s="2983"/>
      <c r="E31" s="1011"/>
      <c r="F31" s="2975"/>
      <c r="G31" s="1011"/>
      <c r="H31" s="2975"/>
    </row>
    <row r="32" spans="1:8" s="2342" customFormat="1" ht="41.25" customHeight="1">
      <c r="A32" s="2972"/>
      <c r="B32" s="2973"/>
      <c r="C32" s="2973"/>
      <c r="D32" s="2974"/>
      <c r="E32" s="1011"/>
      <c r="F32" s="2976"/>
      <c r="G32" s="1011"/>
      <c r="H32" s="2976"/>
    </row>
    <row r="33" spans="1:8" s="2342" customFormat="1" ht="4.5" customHeight="1">
      <c r="A33" s="1011"/>
      <c r="B33" s="1011"/>
      <c r="C33" s="1011"/>
      <c r="D33" s="1011"/>
      <c r="E33" s="1011"/>
      <c r="F33" s="2976"/>
      <c r="G33" s="1011"/>
      <c r="H33" s="2976"/>
    </row>
    <row r="34" spans="1:8" s="2342" customFormat="1" ht="14.25" customHeight="1">
      <c r="A34" s="1018" t="s">
        <v>3734</v>
      </c>
      <c r="B34" s="1017">
        <f>'Part IV-A-Uses of Funds'!$G$62</f>
        <v>0</v>
      </c>
      <c r="C34" s="1018" t="s">
        <v>1803</v>
      </c>
      <c r="D34" s="1017">
        <f>'Part IV-A-Uses of Funds'!$J$62+'Part IV-A-Uses of Funds'!$M$62+'Part IV-A-Uses of Funds'!$P$62</f>
        <v>0</v>
      </c>
      <c r="E34" s="1011"/>
      <c r="F34" s="2976"/>
      <c r="G34" s="1011"/>
      <c r="H34" s="2976"/>
    </row>
    <row r="35" spans="1:8" s="2342" customFormat="1" ht="6" customHeight="1">
      <c r="D35" s="1011"/>
      <c r="E35" s="1011"/>
      <c r="F35" s="2976"/>
      <c r="G35" s="1013"/>
      <c r="H35" s="2976"/>
    </row>
    <row r="36" spans="1:8" s="2342" customFormat="1" ht="41.25" customHeight="1">
      <c r="A36" s="2981">
        <f>'Part IV-A-Uses of Funds'!$C$63</f>
        <v>0</v>
      </c>
      <c r="B36" s="2982"/>
      <c r="C36" s="2982"/>
      <c r="D36" s="2983"/>
      <c r="E36" s="1011"/>
      <c r="F36" s="2976"/>
      <c r="G36" s="1011"/>
      <c r="H36" s="2976"/>
    </row>
    <row r="37" spans="1:8" s="2342" customFormat="1" ht="41.25" customHeight="1">
      <c r="A37" s="2972"/>
      <c r="B37" s="2973"/>
      <c r="C37" s="2973"/>
      <c r="D37" s="2974"/>
      <c r="E37" s="1011"/>
      <c r="F37" s="2976"/>
      <c r="G37" s="1011"/>
      <c r="H37" s="2976"/>
    </row>
    <row r="38" spans="1:8" s="2342" customFormat="1" ht="4.5" customHeight="1">
      <c r="A38" s="1011"/>
      <c r="B38" s="1011"/>
      <c r="C38" s="1011"/>
      <c r="D38" s="1011"/>
      <c r="E38" s="1011"/>
      <c r="F38" s="2976"/>
      <c r="G38" s="1011"/>
      <c r="H38" s="2976"/>
    </row>
    <row r="39" spans="1:8" s="2342" customFormat="1" ht="14.25" customHeight="1">
      <c r="A39" s="1018" t="s">
        <v>3734</v>
      </c>
      <c r="B39" s="1017">
        <f>'Part IV-A-Uses of Funds'!$G$63</f>
        <v>0</v>
      </c>
      <c r="C39" s="1018" t="s">
        <v>1803</v>
      </c>
      <c r="D39" s="1017">
        <f>'Part IV-A-Uses of Funds'!$J$63+'Part IV-A-Uses of Funds'!$M$63+'Part IV-A-Uses of Funds'!$P$63</f>
        <v>0</v>
      </c>
      <c r="E39" s="1011"/>
      <c r="F39" s="2976"/>
      <c r="G39" s="1011"/>
      <c r="H39" s="2976"/>
    </row>
    <row r="40" spans="1:8" s="2342" customFormat="1" ht="6" customHeight="1">
      <c r="D40" s="1011"/>
      <c r="E40" s="1011"/>
      <c r="F40" s="2977"/>
      <c r="G40" s="1013"/>
      <c r="H40" s="2977"/>
    </row>
    <row r="41" spans="1:8" s="2342" customFormat="1">
      <c r="A41" s="1019" t="s">
        <v>480</v>
      </c>
      <c r="B41" s="1011"/>
      <c r="C41" s="1011"/>
      <c r="D41" s="1011"/>
      <c r="E41" s="1015"/>
      <c r="F41" s="1015"/>
      <c r="G41" s="1011"/>
    </row>
    <row r="42" spans="1:8" s="2342" customFormat="1" ht="41.25" customHeight="1">
      <c r="A42" s="2981" t="str">
        <f>'Part IV-A-Uses of Funds'!$C$76</f>
        <v>&lt;&lt; Enter description here; provide detail &amp; justification in tab Part IV-b &gt;&gt;</v>
      </c>
      <c r="B42" s="2982"/>
      <c r="C42" s="2982"/>
      <c r="D42" s="2983"/>
      <c r="F42" s="2978"/>
      <c r="G42" s="1011"/>
      <c r="H42" s="2978"/>
    </row>
    <row r="43" spans="1:8" s="2342" customFormat="1" ht="41.25" customHeight="1">
      <c r="A43" s="2972"/>
      <c r="B43" s="2973"/>
      <c r="C43" s="2973"/>
      <c r="D43" s="2974"/>
      <c r="E43" s="1011"/>
      <c r="F43" s="2979"/>
      <c r="G43" s="1011"/>
      <c r="H43" s="2979"/>
    </row>
    <row r="44" spans="1:8" s="2342" customFormat="1" ht="4.5" customHeight="1">
      <c r="A44" s="1011"/>
      <c r="B44" s="1011"/>
      <c r="C44" s="1011"/>
      <c r="D44" s="1011"/>
      <c r="E44" s="1011"/>
      <c r="F44" s="2979"/>
      <c r="G44" s="1011"/>
      <c r="H44" s="2979"/>
    </row>
    <row r="45" spans="1:8" s="2342" customFormat="1" ht="13.5" customHeight="1">
      <c r="A45" s="1018" t="s">
        <v>3734</v>
      </c>
      <c r="B45" s="1017">
        <f>'Part IV-A-Uses of Funds'!$G$76</f>
        <v>0</v>
      </c>
      <c r="C45" s="1018" t="s">
        <v>1803</v>
      </c>
      <c r="D45" s="1017">
        <f>'Part IV-A-Uses of Funds'!$J$76+'Part IV-A-Uses of Funds'!$M$76+'Part IV-A-Uses of Funds'!$P$76</f>
        <v>0</v>
      </c>
      <c r="E45" s="1011"/>
      <c r="F45" s="2979"/>
      <c r="G45" s="1011"/>
      <c r="H45" s="2979"/>
    </row>
    <row r="46" spans="1:8" s="2342" customFormat="1" ht="6" customHeight="1">
      <c r="A46" s="1011"/>
      <c r="B46" s="1012"/>
      <c r="C46" s="1011"/>
      <c r="D46" s="1011"/>
      <c r="E46" s="1011"/>
      <c r="F46" s="2980"/>
      <c r="G46" s="1013"/>
      <c r="H46" s="2980"/>
    </row>
    <row r="47" spans="1:8" s="2342" customFormat="1">
      <c r="A47" s="1019" t="s">
        <v>732</v>
      </c>
      <c r="B47" s="1011"/>
      <c r="C47" s="1011"/>
      <c r="D47" s="1011"/>
      <c r="E47" s="1011"/>
      <c r="F47" s="1011"/>
      <c r="G47" s="1011"/>
    </row>
    <row r="48" spans="1:8" s="2342" customFormat="1" ht="41.25" customHeight="1">
      <c r="A48" s="2981" t="str">
        <f>'Part IV-A-Uses of Funds'!$C$90</f>
        <v>&lt;&lt; Enter description here; provide detail &amp; justification in tab Part IV-b &gt;&gt;</v>
      </c>
      <c r="B48" s="2982"/>
      <c r="C48" s="2982"/>
      <c r="D48" s="2983"/>
      <c r="F48" s="2978"/>
      <c r="G48" s="1011"/>
    </row>
    <row r="49" spans="1:7" s="2342" customFormat="1" ht="41.25" customHeight="1">
      <c r="A49" s="2972"/>
      <c r="B49" s="2973"/>
      <c r="C49" s="2973"/>
      <c r="D49" s="2974"/>
      <c r="E49" s="1011"/>
      <c r="F49" s="2979"/>
      <c r="G49" s="1011"/>
    </row>
    <row r="50" spans="1:7" s="2342" customFormat="1" ht="3" customHeight="1">
      <c r="A50" s="1011"/>
      <c r="B50" s="1011"/>
      <c r="C50" s="1011"/>
      <c r="D50" s="1011"/>
      <c r="E50" s="1011"/>
      <c r="F50" s="2979"/>
      <c r="G50" s="1011"/>
    </row>
    <row r="51" spans="1:7" s="2342" customFormat="1" ht="13.5" customHeight="1">
      <c r="A51" s="1018" t="s">
        <v>3734</v>
      </c>
      <c r="B51" s="1017">
        <f>'Part IV-A-Uses of Funds'!$G$90</f>
        <v>0</v>
      </c>
      <c r="C51" s="1014"/>
      <c r="D51" s="1014"/>
      <c r="E51" s="1011"/>
      <c r="F51" s="2979"/>
      <c r="G51" s="1011"/>
    </row>
    <row r="52" spans="1:7" s="2342" customFormat="1" ht="3.75" customHeight="1">
      <c r="A52" s="1011"/>
      <c r="B52" s="1011"/>
      <c r="C52" s="1011"/>
      <c r="D52" s="1011"/>
      <c r="E52" s="1011"/>
      <c r="F52" s="2980"/>
      <c r="G52" s="1013"/>
    </row>
    <row r="53" spans="1:7" s="2342" customFormat="1">
      <c r="A53" s="1019" t="s">
        <v>3735</v>
      </c>
      <c r="B53" s="1011"/>
      <c r="C53" s="1011"/>
      <c r="D53" s="1011"/>
      <c r="E53" s="1011"/>
      <c r="F53" s="1011"/>
      <c r="G53" s="1011"/>
    </row>
    <row r="54" spans="1:7" s="2342" customFormat="1" ht="41.25" customHeight="1">
      <c r="A54" s="2981" t="str">
        <f>'Part IV-A-Uses of Funds'!$C$103</f>
        <v>&lt;&lt; Enter description here; provide detail &amp; justification in tab Part IV-b &gt;&gt;</v>
      </c>
      <c r="B54" s="2982"/>
      <c r="C54" s="2982"/>
      <c r="D54" s="2983"/>
      <c r="F54" s="2975"/>
      <c r="G54" s="1011"/>
    </row>
    <row r="55" spans="1:7" s="2342" customFormat="1" ht="41.25" customHeight="1">
      <c r="A55" s="2972"/>
      <c r="B55" s="2973"/>
      <c r="C55" s="2973"/>
      <c r="D55" s="2974"/>
      <c r="E55" s="1011"/>
      <c r="F55" s="2976"/>
      <c r="G55" s="1011"/>
    </row>
    <row r="56" spans="1:7" s="2342" customFormat="1" ht="3" customHeight="1">
      <c r="A56" s="1011"/>
      <c r="B56" s="1011"/>
      <c r="C56" s="1011"/>
      <c r="D56" s="1011"/>
      <c r="E56" s="1011"/>
      <c r="F56" s="2976"/>
      <c r="G56" s="1011"/>
    </row>
    <row r="57" spans="1:7" s="2342" customFormat="1" ht="25.5">
      <c r="A57" s="1018" t="s">
        <v>3734</v>
      </c>
      <c r="B57" s="1017">
        <f>'Part IV-A-Uses of Funds'!$G$103</f>
        <v>0</v>
      </c>
      <c r="C57" s="1014"/>
      <c r="D57" s="1014"/>
      <c r="E57" s="1011"/>
      <c r="F57" s="2976"/>
      <c r="G57" s="1011"/>
    </row>
    <row r="58" spans="1:7" s="2342" customFormat="1" ht="3.75" customHeight="1">
      <c r="A58" s="1010"/>
      <c r="B58" s="1010"/>
      <c r="C58" s="1010"/>
      <c r="D58" s="1010"/>
      <c r="E58" s="1010"/>
      <c r="F58" s="2976"/>
      <c r="G58" s="1013"/>
    </row>
    <row r="59" spans="1:7" s="2342" customFormat="1" ht="41.25" customHeight="1">
      <c r="A59" s="2981" t="str">
        <f>'Part IV-A-Uses of Funds'!$C$104</f>
        <v>&lt;&lt; Enter description here; provide detail &amp; justification in tab Part IV-b &gt;&gt;</v>
      </c>
      <c r="B59" s="2982"/>
      <c r="C59" s="2982"/>
      <c r="D59" s="2983"/>
      <c r="F59" s="2976"/>
      <c r="G59" s="1011"/>
    </row>
    <row r="60" spans="1:7" s="2342" customFormat="1" ht="41.25" customHeight="1">
      <c r="A60" s="2972"/>
      <c r="B60" s="2973"/>
      <c r="C60" s="2973"/>
      <c r="D60" s="2974"/>
      <c r="E60" s="1011"/>
      <c r="F60" s="2976"/>
      <c r="G60" s="1011"/>
    </row>
    <row r="61" spans="1:7" s="2342" customFormat="1" ht="3" customHeight="1">
      <c r="A61" s="1011"/>
      <c r="B61" s="1011"/>
      <c r="C61" s="1011"/>
      <c r="D61" s="1011"/>
      <c r="E61" s="1011"/>
      <c r="F61" s="2976"/>
      <c r="G61" s="1011"/>
    </row>
    <row r="62" spans="1:7" s="2342" customFormat="1" ht="25.5">
      <c r="A62" s="1018" t="s">
        <v>3734</v>
      </c>
      <c r="B62" s="1017">
        <f>'Part IV-A-Uses of Funds'!$G$104</f>
        <v>0</v>
      </c>
      <c r="C62" s="1014"/>
      <c r="D62" s="1014"/>
      <c r="E62" s="1011"/>
      <c r="F62" s="2976"/>
      <c r="G62" s="1011"/>
    </row>
    <row r="63" spans="1:7" s="2342" customFormat="1" ht="3.75" customHeight="1">
      <c r="A63" s="1010"/>
      <c r="B63" s="1010"/>
      <c r="C63" s="1010"/>
      <c r="D63" s="1010"/>
      <c r="E63" s="1010"/>
      <c r="F63" s="2977"/>
      <c r="G63" s="1013"/>
    </row>
    <row r="64" spans="1:7" s="2342" customFormat="1">
      <c r="A64" s="1019" t="s">
        <v>3736</v>
      </c>
      <c r="B64" s="1011"/>
      <c r="C64" s="1011"/>
      <c r="D64" s="1011"/>
      <c r="E64" s="1011"/>
      <c r="F64" s="1011"/>
      <c r="G64" s="1011"/>
    </row>
    <row r="65" spans="1:8" s="2342" customFormat="1" ht="41.25" customHeight="1">
      <c r="A65" s="2981" t="str">
        <f>'Part IV-A-Uses of Funds'!$C$110</f>
        <v>&lt;&lt; Enter description here; provide detail &amp; justification in tab Part IV-b &gt;&gt;</v>
      </c>
      <c r="B65" s="2982"/>
      <c r="C65" s="2982"/>
      <c r="D65" s="2983"/>
      <c r="F65" s="2978"/>
      <c r="G65" s="1011"/>
    </row>
    <row r="66" spans="1:8" s="2342" customFormat="1" ht="41.25" customHeight="1">
      <c r="A66" s="2972"/>
      <c r="B66" s="2973"/>
      <c r="C66" s="2973"/>
      <c r="D66" s="2974"/>
      <c r="E66" s="1011"/>
      <c r="F66" s="2979"/>
      <c r="G66" s="1011"/>
    </row>
    <row r="67" spans="1:8" s="2342" customFormat="1" ht="3" customHeight="1">
      <c r="A67" s="1011"/>
      <c r="B67" s="1011"/>
      <c r="C67" s="1011"/>
      <c r="D67" s="1011"/>
      <c r="E67" s="1011"/>
      <c r="F67" s="2979"/>
      <c r="G67" s="1011"/>
    </row>
    <row r="68" spans="1:8" s="2342" customFormat="1" ht="25.5">
      <c r="A68" s="1018" t="s">
        <v>3734</v>
      </c>
      <c r="B68" s="1017">
        <f>'Part IV-A-Uses of Funds'!$G$110</f>
        <v>0</v>
      </c>
      <c r="C68" s="1014"/>
      <c r="D68" s="1014"/>
      <c r="E68" s="1011"/>
      <c r="F68" s="2979"/>
      <c r="G68" s="1011"/>
    </row>
    <row r="69" spans="1:8" s="2342" customFormat="1" ht="3.75" customHeight="1">
      <c r="A69" s="1011"/>
      <c r="B69" s="1012"/>
      <c r="C69" s="1011"/>
      <c r="D69" s="1011"/>
      <c r="E69" s="1011"/>
      <c r="F69" s="2980"/>
      <c r="G69" s="1013"/>
    </row>
    <row r="70" spans="1:8" s="2342" customFormat="1">
      <c r="A70" s="1019" t="s">
        <v>1321</v>
      </c>
      <c r="B70" s="1011"/>
      <c r="C70" s="1011"/>
      <c r="D70" s="1011"/>
      <c r="E70" s="1011"/>
      <c r="F70" s="1011"/>
      <c r="G70" s="1011"/>
    </row>
    <row r="71" spans="1:8" s="2342" customFormat="1" ht="41.25" customHeight="1">
      <c r="A71" s="2981" t="str">
        <f>'Part IV-A-Uses of Funds'!$C$125</f>
        <v>&lt;&lt; Enter description here; provide detail &amp; justification in tab Part IV-b &gt;&gt;</v>
      </c>
      <c r="B71" s="2982"/>
      <c r="C71" s="2982"/>
      <c r="D71" s="2983"/>
      <c r="F71" s="2978"/>
      <c r="G71" s="1011"/>
      <c r="H71" s="2978"/>
    </row>
    <row r="72" spans="1:8" s="2342" customFormat="1" ht="41.25" customHeight="1">
      <c r="A72" s="2972"/>
      <c r="B72" s="2973"/>
      <c r="C72" s="2973"/>
      <c r="D72" s="2974"/>
      <c r="E72" s="1011"/>
      <c r="F72" s="2979"/>
      <c r="G72" s="1011"/>
      <c r="H72" s="2979"/>
    </row>
    <row r="73" spans="1:8" s="2342" customFormat="1" ht="4.5" customHeight="1">
      <c r="A73" s="1011"/>
      <c r="B73" s="1011"/>
      <c r="C73" s="1011"/>
      <c r="D73" s="1011"/>
      <c r="E73" s="1011"/>
      <c r="F73" s="2979"/>
      <c r="G73" s="1011"/>
      <c r="H73" s="2979"/>
    </row>
    <row r="74" spans="1:8" s="2342" customFormat="1" ht="12.75" customHeight="1">
      <c r="A74" s="1018" t="s">
        <v>3734</v>
      </c>
      <c r="B74" s="1017">
        <f>'Part IV-A-Uses of Funds'!$G$125</f>
        <v>0</v>
      </c>
      <c r="C74" s="1018" t="s">
        <v>1803</v>
      </c>
      <c r="D74" s="1017">
        <f>'Part IV-A-Uses of Funds'!$J$125+'Part IV-A-Uses of Funds'!$M$125+'Part IV-A-Uses of Funds'!$P$125</f>
        <v>0</v>
      </c>
      <c r="E74" s="1011"/>
      <c r="F74" s="2979"/>
      <c r="G74" s="1011"/>
      <c r="H74" s="2979"/>
    </row>
    <row r="75" spans="1:8" s="2342" customFormat="1" ht="6" customHeight="1">
      <c r="A75" s="1011"/>
      <c r="B75" s="1012"/>
      <c r="C75" s="1011"/>
      <c r="D75" s="1011"/>
      <c r="E75" s="1011"/>
      <c r="F75" s="2980"/>
      <c r="G75" s="1013"/>
      <c r="H75" s="2980"/>
    </row>
    <row r="76" spans="1:8" s="2342" customFormat="1">
      <c r="A76" s="1019" t="s">
        <v>3737</v>
      </c>
      <c r="B76" s="1012"/>
      <c r="C76" s="1011"/>
      <c r="D76" s="1011"/>
      <c r="E76" s="1011"/>
      <c r="F76" s="1011"/>
      <c r="G76" s="1013"/>
    </row>
    <row r="77" spans="1:8" s="2342" customFormat="1" ht="41.25" customHeight="1">
      <c r="A77" s="2981" t="str">
        <f>'Part IV-A-Uses of Funds'!$C$129</f>
        <v>&lt;&lt; Enter description here; provide detail &amp; justification in tab Part IV-b &gt;&gt;</v>
      </c>
      <c r="B77" s="2982"/>
      <c r="C77" s="2982"/>
      <c r="D77" s="2983"/>
      <c r="F77" s="2978"/>
      <c r="G77" s="1011"/>
      <c r="H77" s="2978"/>
    </row>
    <row r="78" spans="1:8" s="2342" customFormat="1" ht="41.25" customHeight="1">
      <c r="A78" s="2972"/>
      <c r="B78" s="2973"/>
      <c r="C78" s="2973"/>
      <c r="D78" s="2974"/>
      <c r="E78" s="1011"/>
      <c r="F78" s="2979"/>
      <c r="G78" s="1011"/>
      <c r="H78" s="2979"/>
    </row>
    <row r="79" spans="1:8" s="2342" customFormat="1" ht="4.5" customHeight="1">
      <c r="A79" s="1011"/>
      <c r="B79" s="1011"/>
      <c r="C79" s="1011"/>
      <c r="D79" s="1011"/>
      <c r="E79" s="1011"/>
      <c r="F79" s="2979"/>
      <c r="G79" s="1011"/>
      <c r="H79" s="2979"/>
    </row>
    <row r="80" spans="1:8" s="2342" customFormat="1" ht="12.75" customHeight="1">
      <c r="A80" s="1018" t="s">
        <v>3734</v>
      </c>
      <c r="B80" s="1017">
        <f>'Part IV-A-Uses of Funds'!$G$129</f>
        <v>0</v>
      </c>
      <c r="C80" s="1018" t="s">
        <v>1803</v>
      </c>
      <c r="D80" s="1017">
        <f>'Part IV-A-Uses of Funds'!$J$129+'Part IV-A-Uses of Funds'!$M$129+'Part IV-A-Uses of Funds'!$P$129</f>
        <v>0</v>
      </c>
      <c r="E80" s="1016"/>
      <c r="F80" s="2979"/>
      <c r="G80" s="1011"/>
      <c r="H80" s="2979"/>
    </row>
    <row r="81" spans="4:8" s="2342" customFormat="1" ht="6" customHeight="1">
      <c r="D81" s="1618"/>
      <c r="E81" s="2343"/>
      <c r="F81" s="2980"/>
      <c r="G81" s="1013"/>
      <c r="H81" s="2980"/>
    </row>
    <row r="82" spans="4:8" s="2342" customFormat="1"/>
    <row r="83" spans="4:8" s="2342" customFormat="1"/>
    <row r="84" spans="4:8" s="2342" customFormat="1"/>
    <row r="85" spans="4:8" s="2342" customFormat="1"/>
    <row r="86" spans="4:8" s="2342" customFormat="1"/>
    <row r="87" spans="4:8" s="2342" customFormat="1"/>
    <row r="88" spans="4:8" s="2342" customFormat="1"/>
    <row r="89" spans="4:8" s="2342" customFormat="1"/>
    <row r="90" spans="4:8" s="2342" customFormat="1"/>
    <row r="91" spans="4:8" s="2342" customFormat="1"/>
    <row r="92" spans="4:8" s="2342" customFormat="1"/>
  </sheetData>
  <sheetProtection algorithmName="SHA-512" hashValue="+2X+hyeirqzR4uBpMx8IwcERdN3CpOoeWc2Gwp5nAJUiWWDL3tU6PL7Nmk1+Gca77d+q//EHTYUsGRkgD+WsOA==" saltValue="/3lIPp0QApK2u9dAG8P8d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5"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4" t="str">
        <f>CONCATENATE("PART FIVE - UTILITY ALLOWANCES","  -  ",'Part I-Project Information'!$O$6," ",'Part I-Project Information'!$F$34,", ",'Part I-Project Information'!F38,", ",'Part I-Project Information'!J39," County")</f>
        <v>PART FIVE - UTILITY ALLOWANCES  -  2018-017 Heritage Village at West Lake, Atlanta, Fulton County</v>
      </c>
      <c r="B1" s="2985"/>
      <c r="C1" s="2985"/>
      <c r="D1" s="2985"/>
      <c r="E1" s="2985"/>
      <c r="F1" s="2985"/>
      <c r="G1" s="2985"/>
      <c r="H1" s="2985"/>
      <c r="I1" s="2985"/>
      <c r="J1" s="2985"/>
      <c r="K1" s="2985"/>
      <c r="L1" s="2985"/>
      <c r="M1" s="2985"/>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2986" t="s">
        <v>4595</v>
      </c>
      <c r="J7" s="2987"/>
      <c r="K7" s="2987"/>
      <c r="L7" s="2987"/>
      <c r="M7" s="2988"/>
    </row>
    <row r="8" spans="1:20" s="8" customFormat="1" ht="13.15" customHeight="1">
      <c r="A8" s="14"/>
      <c r="F8" s="8" t="s">
        <v>642</v>
      </c>
      <c r="H8" s="28"/>
      <c r="I8" s="2989">
        <v>43227</v>
      </c>
      <c r="J8" s="2990"/>
      <c r="K8" s="63" t="s">
        <v>545</v>
      </c>
      <c r="L8" s="2991" t="s">
        <v>4596</v>
      </c>
      <c r="M8" s="2992"/>
    </row>
    <row r="9" spans="1:20" s="8" customFormat="1" ht="4.5" customHeight="1">
      <c r="A9" s="14"/>
    </row>
    <row r="10" spans="1:20" s="14" customFormat="1">
      <c r="B10" s="254"/>
      <c r="C10" s="254"/>
      <c r="D10" s="254"/>
      <c r="E10" s="254"/>
      <c r="F10" s="2993" t="s">
        <v>615</v>
      </c>
      <c r="G10" s="2993"/>
      <c r="I10" s="2994" t="s">
        <v>202</v>
      </c>
      <c r="J10" s="2994"/>
      <c r="K10" s="2994"/>
      <c r="L10" s="2994"/>
      <c r="M10" s="299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004" t="s">
        <v>1608</v>
      </c>
      <c r="E12" s="3005"/>
      <c r="F12" s="2333" t="s">
        <v>443</v>
      </c>
      <c r="G12" s="2333"/>
      <c r="H12" s="1120"/>
      <c r="I12" s="2334">
        <v>2.92</v>
      </c>
      <c r="J12" s="2334">
        <v>4.58</v>
      </c>
      <c r="K12" s="2334"/>
      <c r="L12" s="2334"/>
      <c r="M12" s="2334"/>
      <c r="O12" s="2995" t="s">
        <v>3858</v>
      </c>
      <c r="P12" s="2995"/>
    </row>
    <row r="13" spans="1:20" s="8" customFormat="1" ht="12" customHeight="1">
      <c r="B13" s="1112" t="s">
        <v>1609</v>
      </c>
      <c r="C13" s="1109"/>
      <c r="D13" s="2996" t="s">
        <v>1608</v>
      </c>
      <c r="E13" s="2997"/>
      <c r="F13" s="2335" t="s">
        <v>443</v>
      </c>
      <c r="G13" s="2335"/>
      <c r="H13" s="1117"/>
      <c r="I13" s="2336">
        <v>1.75</v>
      </c>
      <c r="J13" s="2336">
        <v>1.75</v>
      </c>
      <c r="K13" s="2336"/>
      <c r="L13" s="2337"/>
      <c r="M13" s="2337"/>
      <c r="O13" s="2995"/>
      <c r="P13" s="2995"/>
    </row>
    <row r="14" spans="1:20" s="8" customFormat="1" ht="12" customHeight="1">
      <c r="B14" s="1115" t="s">
        <v>1610</v>
      </c>
      <c r="C14" s="1114"/>
      <c r="D14" s="2996" t="s">
        <v>1608</v>
      </c>
      <c r="E14" s="2997"/>
      <c r="F14" s="2335" t="s">
        <v>443</v>
      </c>
      <c r="G14" s="2335"/>
      <c r="H14" s="257"/>
      <c r="I14" s="2336">
        <v>7.17</v>
      </c>
      <c r="J14" s="2336">
        <v>7.33</v>
      </c>
      <c r="K14" s="2336"/>
      <c r="L14" s="2337"/>
      <c r="M14" s="2337"/>
      <c r="O14" s="2995"/>
      <c r="P14" s="2995"/>
    </row>
    <row r="15" spans="1:20" s="8" customFormat="1" ht="12" customHeight="1">
      <c r="B15" s="1110" t="s">
        <v>471</v>
      </c>
      <c r="C15" s="258"/>
      <c r="D15" s="1110" t="s">
        <v>1608</v>
      </c>
      <c r="E15" s="258"/>
      <c r="F15" s="2335" t="s">
        <v>443</v>
      </c>
      <c r="G15" s="2335"/>
      <c r="H15" s="1116"/>
      <c r="I15" s="2336">
        <v>3.42</v>
      </c>
      <c r="J15" s="2336">
        <v>4.42</v>
      </c>
      <c r="K15" s="2336"/>
      <c r="L15" s="2337"/>
      <c r="M15" s="2337"/>
      <c r="O15" s="2995"/>
      <c r="P15" s="2995"/>
    </row>
    <row r="16" spans="1:20" s="8" customFormat="1" ht="12" customHeight="1">
      <c r="B16" s="1111" t="s">
        <v>3830</v>
      </c>
      <c r="C16" s="1109"/>
      <c r="D16" s="1112" t="s">
        <v>1608</v>
      </c>
      <c r="E16" s="1109"/>
      <c r="F16" s="2335"/>
      <c r="G16" s="2335"/>
      <c r="H16" s="1117"/>
      <c r="I16" s="2336"/>
      <c r="J16" s="2336"/>
      <c r="K16" s="2336"/>
      <c r="L16" s="2337"/>
      <c r="M16" s="2337"/>
      <c r="O16" s="2995"/>
      <c r="P16" s="2995"/>
    </row>
    <row r="17" spans="1:19" s="8" customFormat="1" ht="12" customHeight="1">
      <c r="B17" s="1111" t="s">
        <v>3831</v>
      </c>
      <c r="C17" s="1109"/>
      <c r="D17" s="1112" t="s">
        <v>1608</v>
      </c>
      <c r="E17" s="1109"/>
      <c r="F17" s="2335" t="s">
        <v>443</v>
      </c>
      <c r="G17" s="2335"/>
      <c r="H17" s="1117"/>
      <c r="I17" s="2336">
        <v>2.16</v>
      </c>
      <c r="J17" s="2336">
        <v>2.16</v>
      </c>
      <c r="K17" s="2336"/>
      <c r="L17" s="2337"/>
      <c r="M17" s="2337"/>
      <c r="O17" s="2995"/>
      <c r="P17" s="2995"/>
    </row>
    <row r="18" spans="1:19" s="8" customFormat="1" ht="12" customHeight="1">
      <c r="B18" s="1113" t="s">
        <v>3832</v>
      </c>
      <c r="C18" s="1114"/>
      <c r="D18" s="1115" t="s">
        <v>1608</v>
      </c>
      <c r="E18" s="1109"/>
      <c r="F18" s="2335" t="s">
        <v>443</v>
      </c>
      <c r="G18" s="2335"/>
      <c r="H18" s="257"/>
      <c r="I18" s="2336">
        <v>20.91</v>
      </c>
      <c r="J18" s="2336">
        <v>23.01</v>
      </c>
      <c r="K18" s="2336"/>
      <c r="L18" s="2337"/>
      <c r="M18" s="2337"/>
      <c r="O18" s="2995"/>
      <c r="P18" s="2995"/>
    </row>
    <row r="19" spans="1:19" s="8" customFormat="1" ht="12" customHeight="1">
      <c r="B19" s="1110" t="s">
        <v>1382</v>
      </c>
      <c r="C19" s="258"/>
      <c r="D19" s="668" t="s">
        <v>3492</v>
      </c>
      <c r="E19" s="2338" t="s">
        <v>3011</v>
      </c>
      <c r="F19" s="2335" t="s">
        <v>443</v>
      </c>
      <c r="G19" s="2335"/>
      <c r="H19" s="1116"/>
      <c r="I19" s="2336">
        <v>75</v>
      </c>
      <c r="J19" s="2336">
        <v>75</v>
      </c>
      <c r="K19" s="2336"/>
      <c r="L19" s="2337"/>
      <c r="M19" s="2337"/>
      <c r="O19" s="2995"/>
      <c r="P19" s="2995"/>
    </row>
    <row r="20" spans="1:19" s="8" customFormat="1" ht="12" customHeight="1">
      <c r="B20" s="1121" t="s">
        <v>1865</v>
      </c>
      <c r="C20" s="231"/>
      <c r="D20" s="259"/>
      <c r="E20" s="231"/>
      <c r="F20" s="2339"/>
      <c r="G20" s="2339" t="s">
        <v>443</v>
      </c>
      <c r="H20" s="1122"/>
      <c r="I20" s="2340"/>
      <c r="J20" s="2340"/>
      <c r="K20" s="2340"/>
      <c r="L20" s="2341"/>
      <c r="M20" s="2341"/>
      <c r="O20" s="2995"/>
      <c r="P20" s="2995"/>
    </row>
    <row r="21" spans="1:19" s="8" customFormat="1">
      <c r="B21" s="254" t="s">
        <v>1030</v>
      </c>
      <c r="D21" s="28"/>
      <c r="E21" s="28"/>
      <c r="F21" s="83"/>
      <c r="G21" s="83"/>
      <c r="I21" s="1582">
        <f>IF(SUM(I12:I20)=0,0,IF(OR($D12="&lt;&lt;Select Fuel &gt;&gt;",$D13="&lt;&lt;Select Fuel &gt;&gt;",$D14="&lt;&lt;Select Fuel &gt;&gt;"),"Select Fuel",IF($E19="&lt;Select&gt;","Submeter?",SUM(I12:I20))))</f>
        <v>113.33</v>
      </c>
      <c r="J21" s="1582">
        <f>IF(SUM(J12:J20)=0,0,IF(OR($D12="&lt;&lt;Select Fuel &gt;&gt;",$D13="&lt;&lt;Select Fuel &gt;&gt;",$D14="&lt;&lt;Select Fuel &gt;&gt;"),"Select Fuel",IF($E19="&lt;Select&gt;","Submeter?",SUM(J12:J20))))</f>
        <v>118.25</v>
      </c>
      <c r="K21" s="1582">
        <f>IF(SUM(K12:K20)=0,0,IF(OR($D12="&lt;&lt;Select Fuel &gt;&gt;",$D13="&lt;&lt;Select Fuel &gt;&gt;",$D14="&lt;&lt;Select Fuel &gt;&gt;"),"Select Fuel",IF($E19="&lt;Select&gt;","Submeter?",SUM(K12:K20))))</f>
        <v>0</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986" t="s">
        <v>4595</v>
      </c>
      <c r="J23" s="2987"/>
      <c r="K23" s="2987"/>
      <c r="L23" s="2987"/>
      <c r="M23" s="2988"/>
    </row>
    <row r="24" spans="1:19" s="8" customFormat="1" ht="13.15" customHeight="1">
      <c r="A24" s="14"/>
      <c r="B24" s="14"/>
      <c r="F24" s="8" t="s">
        <v>642</v>
      </c>
      <c r="H24" s="28"/>
      <c r="I24" s="2989">
        <v>43227</v>
      </c>
      <c r="J24" s="2990"/>
      <c r="K24" s="63" t="s">
        <v>545</v>
      </c>
      <c r="L24" s="2991" t="s">
        <v>4596</v>
      </c>
      <c r="M24" s="2992"/>
    </row>
    <row r="25" spans="1:19" s="8" customFormat="1" ht="4.5" customHeight="1">
      <c r="A25" s="14"/>
    </row>
    <row r="26" spans="1:19" s="14" customFormat="1">
      <c r="B26" s="254"/>
      <c r="C26" s="254"/>
      <c r="D26" s="254"/>
      <c r="E26" s="254"/>
      <c r="F26" s="2993" t="s">
        <v>615</v>
      </c>
      <c r="G26" s="2993"/>
      <c r="I26" s="2994" t="s">
        <v>202</v>
      </c>
      <c r="J26" s="2994"/>
      <c r="K26" s="2994"/>
      <c r="L26" s="2994"/>
      <c r="M26" s="299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004" t="s">
        <v>1608</v>
      </c>
      <c r="E28" s="3005"/>
      <c r="F28" s="2333" t="s">
        <v>443</v>
      </c>
      <c r="G28" s="2333"/>
      <c r="H28" s="1120"/>
      <c r="I28" s="2334">
        <v>4.66</v>
      </c>
      <c r="J28" s="2334"/>
      <c r="K28" s="2334"/>
      <c r="L28" s="2334"/>
      <c r="M28" s="2334"/>
      <c r="O28" s="2995" t="s">
        <v>3858</v>
      </c>
      <c r="P28" s="2995"/>
    </row>
    <row r="29" spans="1:19" s="8" customFormat="1" ht="12" customHeight="1">
      <c r="B29" s="1112" t="s">
        <v>1609</v>
      </c>
      <c r="C29" s="1109"/>
      <c r="D29" s="2996" t="s">
        <v>1608</v>
      </c>
      <c r="E29" s="2997"/>
      <c r="F29" s="2335" t="s">
        <v>443</v>
      </c>
      <c r="G29" s="2335"/>
      <c r="H29" s="1117"/>
      <c r="I29" s="2336">
        <v>1.75</v>
      </c>
      <c r="J29" s="2336"/>
      <c r="K29" s="2336"/>
      <c r="L29" s="2337"/>
      <c r="M29" s="2337"/>
      <c r="O29" s="2995"/>
      <c r="P29" s="2995"/>
    </row>
    <row r="30" spans="1:19" s="8" customFormat="1" ht="12" customHeight="1">
      <c r="B30" s="1115" t="s">
        <v>1610</v>
      </c>
      <c r="C30" s="1114"/>
      <c r="D30" s="2996" t="s">
        <v>1608</v>
      </c>
      <c r="E30" s="2997"/>
      <c r="F30" s="2335" t="s">
        <v>443</v>
      </c>
      <c r="G30" s="2335"/>
      <c r="H30" s="257"/>
      <c r="I30" s="2336">
        <v>7.17</v>
      </c>
      <c r="J30" s="2336"/>
      <c r="K30" s="2336"/>
      <c r="L30" s="2337"/>
      <c r="M30" s="2337"/>
      <c r="O30" s="2995"/>
      <c r="P30" s="2995"/>
    </row>
    <row r="31" spans="1:19" s="8" customFormat="1" ht="12" customHeight="1">
      <c r="B31" s="1110" t="s">
        <v>471</v>
      </c>
      <c r="C31" s="258"/>
      <c r="D31" s="1110" t="s">
        <v>1608</v>
      </c>
      <c r="E31" s="258"/>
      <c r="F31" s="2335" t="s">
        <v>443</v>
      </c>
      <c r="G31" s="2335"/>
      <c r="H31" s="1116"/>
      <c r="I31" s="2336">
        <v>3.92</v>
      </c>
      <c r="J31" s="2336"/>
      <c r="K31" s="2336"/>
      <c r="L31" s="2337"/>
      <c r="M31" s="2337"/>
      <c r="O31" s="2995"/>
      <c r="P31" s="2995"/>
    </row>
    <row r="32" spans="1:19" s="8" customFormat="1" ht="12" customHeight="1">
      <c r="B32" s="1111" t="s">
        <v>3830</v>
      </c>
      <c r="C32" s="1109"/>
      <c r="D32" s="1112" t="s">
        <v>1608</v>
      </c>
      <c r="E32" s="1109"/>
      <c r="F32" s="2335"/>
      <c r="G32" s="2335"/>
      <c r="H32" s="1117"/>
      <c r="I32" s="2336"/>
      <c r="J32" s="2336"/>
      <c r="K32" s="2336"/>
      <c r="L32" s="2337"/>
      <c r="M32" s="2337"/>
      <c r="O32" s="2995"/>
      <c r="P32" s="2995"/>
    </row>
    <row r="33" spans="1:19" s="8" customFormat="1" ht="12" customHeight="1">
      <c r="B33" s="1111" t="s">
        <v>3831</v>
      </c>
      <c r="C33" s="1109"/>
      <c r="D33" s="1112" t="s">
        <v>1608</v>
      </c>
      <c r="E33" s="1109"/>
      <c r="F33" s="2335" t="s">
        <v>443</v>
      </c>
      <c r="G33" s="2335"/>
      <c r="H33" s="1117"/>
      <c r="I33" s="2336">
        <v>2.16</v>
      </c>
      <c r="J33" s="2336"/>
      <c r="K33" s="2336"/>
      <c r="L33" s="2337"/>
      <c r="M33" s="2337"/>
      <c r="O33" s="2995"/>
      <c r="P33" s="2995"/>
    </row>
    <row r="34" spans="1:19" s="8" customFormat="1" ht="12" customHeight="1">
      <c r="B34" s="1113" t="s">
        <v>3832</v>
      </c>
      <c r="C34" s="1114"/>
      <c r="D34" s="1115" t="s">
        <v>1608</v>
      </c>
      <c r="E34" s="1109"/>
      <c r="F34" s="2335" t="s">
        <v>443</v>
      </c>
      <c r="G34" s="2335"/>
      <c r="H34" s="257"/>
      <c r="I34" s="2336">
        <v>20.92</v>
      </c>
      <c r="J34" s="2336"/>
      <c r="K34" s="2336"/>
      <c r="L34" s="2337"/>
      <c r="M34" s="2337"/>
      <c r="O34" s="2995"/>
      <c r="P34" s="2995"/>
    </row>
    <row r="35" spans="1:19" s="8" customFormat="1" ht="12" customHeight="1">
      <c r="B35" s="1110" t="s">
        <v>1382</v>
      </c>
      <c r="C35" s="258"/>
      <c r="D35" s="668" t="s">
        <v>3492</v>
      </c>
      <c r="E35" s="2338" t="s">
        <v>3011</v>
      </c>
      <c r="F35" s="2335" t="s">
        <v>443</v>
      </c>
      <c r="G35" s="2335"/>
      <c r="H35" s="1116"/>
      <c r="I35" s="2336">
        <v>75</v>
      </c>
      <c r="J35" s="2336"/>
      <c r="K35" s="2336"/>
      <c r="L35" s="2337"/>
      <c r="M35" s="2337"/>
      <c r="O35" s="2995"/>
      <c r="P35" s="2995"/>
    </row>
    <row r="36" spans="1:19" s="8" customFormat="1" ht="12" customHeight="1">
      <c r="B36" s="1121" t="s">
        <v>1865</v>
      </c>
      <c r="C36" s="231"/>
      <c r="D36" s="259"/>
      <c r="E36" s="231"/>
      <c r="F36" s="2339"/>
      <c r="G36" s="2339" t="s">
        <v>443</v>
      </c>
      <c r="H36" s="1122"/>
      <c r="I36" s="2340"/>
      <c r="J36" s="2340"/>
      <c r="K36" s="2340"/>
      <c r="L36" s="2341"/>
      <c r="M36" s="2341"/>
      <c r="O36" s="2995"/>
      <c r="P36" s="2995"/>
    </row>
    <row r="37" spans="1:19" s="8" customFormat="1">
      <c r="B37" s="254" t="s">
        <v>1030</v>
      </c>
      <c r="D37" s="28"/>
      <c r="E37" s="28"/>
      <c r="F37" s="83"/>
      <c r="G37" s="83"/>
      <c r="I37" s="1582">
        <f>IF(SUM(I28:I36)=0,0,IF(OR($D28="&lt;&lt;Select Fuel &gt;&gt;",$D30="&lt;&lt;Select Fuel &gt;&gt;",$D31="&lt;&lt;Select Fuel &gt;&gt;"),"Select Fuel",IF($E35="&lt;Select&gt;","Submeter?",SUM(I28:I36))))</f>
        <v>115.58</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39" customHeight="1">
      <c r="B41" s="2998" t="s">
        <v>4673</v>
      </c>
      <c r="C41" s="2999"/>
      <c r="D41" s="2999"/>
      <c r="E41" s="2999"/>
      <c r="F41" s="2999"/>
      <c r="G41" s="2999"/>
      <c r="H41" s="2999"/>
      <c r="I41" s="2999"/>
      <c r="J41" s="2999"/>
      <c r="K41" s="2999"/>
      <c r="L41" s="2999"/>
      <c r="M41" s="3000"/>
      <c r="N41" s="28"/>
      <c r="O41" s="2435" t="s">
        <v>2710</v>
      </c>
      <c r="P41" s="2435"/>
      <c r="Q41" s="2435"/>
      <c r="R41" s="2435"/>
      <c r="S41" s="2435"/>
    </row>
    <row r="42" spans="1:19" s="8" customFormat="1" ht="3" customHeight="1">
      <c r="M42" s="28"/>
      <c r="N42" s="28"/>
      <c r="O42" s="2435"/>
      <c r="P42" s="2435"/>
      <c r="Q42" s="2435"/>
      <c r="R42" s="2435"/>
      <c r="S42" s="2435"/>
    </row>
    <row r="43" spans="1:19" s="8" customFormat="1" ht="12" customHeight="1">
      <c r="A43" s="14"/>
      <c r="B43" s="14" t="s">
        <v>1859</v>
      </c>
      <c r="M43" s="28"/>
      <c r="N43" s="28"/>
      <c r="O43" s="2435"/>
      <c r="P43" s="2435"/>
      <c r="Q43" s="2435"/>
      <c r="R43" s="2435"/>
      <c r="S43" s="2435"/>
    </row>
    <row r="44" spans="1:19" s="8" customFormat="1" ht="24.75" customHeight="1">
      <c r="B44" s="3001"/>
      <c r="C44" s="3002"/>
      <c r="D44" s="3002"/>
      <c r="E44" s="3002"/>
      <c r="F44" s="3002"/>
      <c r="G44" s="3002"/>
      <c r="H44" s="3002"/>
      <c r="I44" s="3002"/>
      <c r="J44" s="3002"/>
      <c r="K44" s="3002"/>
      <c r="L44" s="3002"/>
      <c r="M44" s="3003"/>
      <c r="N44" s="28"/>
      <c r="O44" s="2435"/>
      <c r="P44" s="2435"/>
      <c r="Q44" s="2435"/>
      <c r="R44" s="2435"/>
      <c r="S44" s="2435"/>
    </row>
  </sheetData>
  <sheetProtection algorithmName="SHA-512" hashValue="eyxl27GrSn8HBgFliHXdXxlp9oF6EYKAAtTNMA8F6r6/gdjQU09Es1f1eYQh812xRzShiQ8g7OxIGsXwmNX2Bw==" saltValue="ljIZ+tvdyH8zE0psa+ZJT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2018-05-24T00:52:43Z</cp:lastPrinted>
  <dcterms:created xsi:type="dcterms:W3CDTF">2005-09-15T20:51:37Z</dcterms:created>
  <dcterms:modified xsi:type="dcterms:W3CDTF">2018-08-29T16:23:27Z</dcterms:modified>
</cp:coreProperties>
</file>